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Griffith/Documents/COVID-19/"/>
    </mc:Choice>
  </mc:AlternateContent>
  <xr:revisionPtr revIDLastSave="0" documentId="13_ncr:1_{9612FD54-D2FE-5542-986A-0589AA272E67}" xr6:coauthVersionLast="45" xr6:coauthVersionMax="45" xr10:uidLastSave="{00000000-0000-0000-0000-000000000000}"/>
  <bookViews>
    <workbookView xWindow="0" yWindow="460" windowWidth="28800" windowHeight="16080" xr2:uid="{81AFEFF5-6D7A-0748-A264-410BC3138688}"/>
  </bookViews>
  <sheets>
    <sheet name="Cover Page" sheetId="4" r:id="rId1"/>
    <sheet name="ESSER" sheetId="1" r:id="rId2"/>
    <sheet name="GEER" sheetId="2" r:id="rId3"/>
    <sheet name="Overall ED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4" l="1"/>
  <c r="H3" i="4"/>
  <c r="G3" i="4" l="1"/>
  <c r="F3" i="4"/>
  <c r="G9" i="4" l="1"/>
  <c r="L52" i="2" l="1"/>
  <c r="K52" i="2"/>
  <c r="L51" i="2"/>
  <c r="K51" i="2"/>
  <c r="L50" i="2"/>
  <c r="K50" i="2"/>
  <c r="L49" i="2"/>
  <c r="K49" i="2"/>
  <c r="L48" i="2"/>
  <c r="K48" i="2"/>
  <c r="L47" i="2"/>
  <c r="K47" i="2"/>
  <c r="L46" i="2"/>
  <c r="K46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L3" i="2"/>
  <c r="K3" i="2"/>
  <c r="L2" i="2"/>
  <c r="K2" i="2"/>
  <c r="C4" i="4" l="1"/>
  <c r="C3" i="4"/>
  <c r="B6" i="3"/>
  <c r="F56" i="2" l="1"/>
  <c r="F55" i="2" s="1"/>
  <c r="G55" i="2" s="1"/>
  <c r="B57" i="2"/>
  <c r="C55" i="2" s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C9" i="2" l="1"/>
  <c r="C33" i="2"/>
  <c r="C49" i="2"/>
  <c r="C2" i="2"/>
  <c r="C10" i="2"/>
  <c r="C18" i="2"/>
  <c r="C34" i="2"/>
  <c r="C50" i="2"/>
  <c r="C3" i="2"/>
  <c r="C11" i="2"/>
  <c r="C19" i="2"/>
  <c r="C27" i="2"/>
  <c r="C35" i="2"/>
  <c r="C43" i="2"/>
  <c r="C51" i="2"/>
  <c r="C4" i="2"/>
  <c r="C12" i="2"/>
  <c r="C20" i="2"/>
  <c r="C28" i="2"/>
  <c r="C36" i="2"/>
  <c r="C44" i="2"/>
  <c r="C52" i="2"/>
  <c r="C26" i="2"/>
  <c r="C5" i="2"/>
  <c r="C13" i="2"/>
  <c r="C21" i="2"/>
  <c r="C29" i="2"/>
  <c r="C37" i="2"/>
  <c r="C45" i="2"/>
  <c r="C25" i="2"/>
  <c r="C41" i="2"/>
  <c r="C42" i="2"/>
  <c r="C6" i="2"/>
  <c r="C14" i="2"/>
  <c r="C22" i="2"/>
  <c r="C30" i="2"/>
  <c r="C38" i="2"/>
  <c r="C46" i="2"/>
  <c r="C17" i="2"/>
  <c r="C7" i="2"/>
  <c r="C15" i="2"/>
  <c r="C23" i="2"/>
  <c r="C31" i="2"/>
  <c r="C39" i="2"/>
  <c r="C47" i="2"/>
  <c r="C8" i="2"/>
  <c r="C16" i="2"/>
  <c r="C24" i="2"/>
  <c r="C32" i="2"/>
  <c r="C40" i="2"/>
  <c r="C48" i="2"/>
  <c r="B5" i="3" l="1"/>
  <c r="B8" i="3" s="1"/>
  <c r="B4" i="3"/>
  <c r="B3" i="3"/>
  <c r="B57" i="1"/>
  <c r="B7" i="3" l="1"/>
  <c r="D3" i="4" l="1"/>
  <c r="C55" i="1"/>
  <c r="C45" i="1"/>
  <c r="E45" i="1" s="1"/>
  <c r="F45" i="1" s="1"/>
  <c r="G45" i="1" s="1"/>
  <c r="C37" i="1"/>
  <c r="E37" i="1" s="1"/>
  <c r="C29" i="1"/>
  <c r="E29" i="1" s="1"/>
  <c r="F29" i="1" s="1"/>
  <c r="G29" i="1" s="1"/>
  <c r="C21" i="1"/>
  <c r="C13" i="1"/>
  <c r="E13" i="1" s="1"/>
  <c r="F13" i="1" s="1"/>
  <c r="C5" i="1"/>
  <c r="E5" i="1" s="1"/>
  <c r="F5" i="1" s="1"/>
  <c r="H5" i="1" s="1"/>
  <c r="C52" i="1"/>
  <c r="E52" i="1" s="1"/>
  <c r="F52" i="1" s="1"/>
  <c r="H52" i="1" s="1"/>
  <c r="C44" i="1"/>
  <c r="E44" i="1" s="1"/>
  <c r="F44" i="1" s="1"/>
  <c r="C36" i="1"/>
  <c r="E36" i="1" s="1"/>
  <c r="F36" i="1" s="1"/>
  <c r="H36" i="1" s="1"/>
  <c r="C28" i="1"/>
  <c r="E28" i="1" s="1"/>
  <c r="F28" i="1" s="1"/>
  <c r="C12" i="1"/>
  <c r="E12" i="1" s="1"/>
  <c r="F12" i="1" s="1"/>
  <c r="H12" i="1" s="1"/>
  <c r="C4" i="1"/>
  <c r="E4" i="1" s="1"/>
  <c r="F4" i="1" s="1"/>
  <c r="C43" i="1"/>
  <c r="E43" i="1" s="1"/>
  <c r="F43" i="1" s="1"/>
  <c r="C35" i="1"/>
  <c r="E35" i="1" s="1"/>
  <c r="F35" i="1" s="1"/>
  <c r="G35" i="1" s="1"/>
  <c r="C27" i="1"/>
  <c r="E27" i="1" s="1"/>
  <c r="F27" i="1" s="1"/>
  <c r="H27" i="1" s="1"/>
  <c r="C19" i="1"/>
  <c r="E19" i="1" s="1"/>
  <c r="F19" i="1" s="1"/>
  <c r="C11" i="1"/>
  <c r="E11" i="1" s="1"/>
  <c r="F11" i="1" s="1"/>
  <c r="G11" i="1" s="1"/>
  <c r="C3" i="1"/>
  <c r="E3" i="1" s="1"/>
  <c r="F3" i="1" s="1"/>
  <c r="C47" i="1"/>
  <c r="C15" i="1"/>
  <c r="E15" i="1" s="1"/>
  <c r="F15" i="1" s="1"/>
  <c r="C30" i="1"/>
  <c r="C20" i="1"/>
  <c r="E20" i="1" s="1"/>
  <c r="F20" i="1" s="1"/>
  <c r="H20" i="1" s="1"/>
  <c r="C49" i="1"/>
  <c r="E49" i="1" s="1"/>
  <c r="F49" i="1" s="1"/>
  <c r="H49" i="1" s="1"/>
  <c r="C33" i="1"/>
  <c r="E33" i="1" s="1"/>
  <c r="F33" i="1" s="1"/>
  <c r="C24" i="1"/>
  <c r="E24" i="1" s="1"/>
  <c r="F24" i="1" s="1"/>
  <c r="H24" i="1" s="1"/>
  <c r="C23" i="1"/>
  <c r="E23" i="1" s="1"/>
  <c r="F23" i="1" s="1"/>
  <c r="C46" i="1"/>
  <c r="E46" i="1" s="1"/>
  <c r="F46" i="1" s="1"/>
  <c r="H46" i="1" s="1"/>
  <c r="C6" i="1"/>
  <c r="C51" i="1"/>
  <c r="E51" i="1" s="1"/>
  <c r="F51" i="1" s="1"/>
  <c r="C42" i="1"/>
  <c r="E42" i="1" s="1"/>
  <c r="F42" i="1" s="1"/>
  <c r="H42" i="1" s="1"/>
  <c r="C34" i="1"/>
  <c r="E34" i="1" s="1"/>
  <c r="F34" i="1" s="1"/>
  <c r="G34" i="1" s="1"/>
  <c r="C26" i="1"/>
  <c r="E26" i="1" s="1"/>
  <c r="F26" i="1" s="1"/>
  <c r="C18" i="1"/>
  <c r="E18" i="1" s="1"/>
  <c r="F18" i="1" s="1"/>
  <c r="H18" i="1" s="1"/>
  <c r="C10" i="1"/>
  <c r="E10" i="1" s="1"/>
  <c r="F10" i="1" s="1"/>
  <c r="C41" i="1"/>
  <c r="E41" i="1" s="1"/>
  <c r="F41" i="1" s="1"/>
  <c r="G41" i="1" s="1"/>
  <c r="C25" i="1"/>
  <c r="E25" i="1" s="1"/>
  <c r="F25" i="1" s="1"/>
  <c r="C9" i="1"/>
  <c r="E9" i="1" s="1"/>
  <c r="F9" i="1" s="1"/>
  <c r="C32" i="1"/>
  <c r="E32" i="1" s="1"/>
  <c r="F32" i="1" s="1"/>
  <c r="G32" i="1" s="1"/>
  <c r="C8" i="1"/>
  <c r="E8" i="1" s="1"/>
  <c r="F8" i="1" s="1"/>
  <c r="G8" i="1" s="1"/>
  <c r="C39" i="1"/>
  <c r="E39" i="1" s="1"/>
  <c r="F39" i="1" s="1"/>
  <c r="C22" i="1"/>
  <c r="E22" i="1" s="1"/>
  <c r="F22" i="1" s="1"/>
  <c r="H22" i="1" s="1"/>
  <c r="C50" i="1"/>
  <c r="E50" i="1" s="1"/>
  <c r="F50" i="1" s="1"/>
  <c r="C2" i="1"/>
  <c r="C17" i="1"/>
  <c r="E17" i="1" s="1"/>
  <c r="F17" i="1" s="1"/>
  <c r="C48" i="1"/>
  <c r="E48" i="1" s="1"/>
  <c r="F48" i="1" s="1"/>
  <c r="C40" i="1"/>
  <c r="E40" i="1" s="1"/>
  <c r="F40" i="1" s="1"/>
  <c r="H40" i="1" s="1"/>
  <c r="C16" i="1"/>
  <c r="E16" i="1" s="1"/>
  <c r="F16" i="1" s="1"/>
  <c r="G16" i="1" s="1"/>
  <c r="C31" i="1"/>
  <c r="E31" i="1" s="1"/>
  <c r="F31" i="1" s="1"/>
  <c r="C7" i="1"/>
  <c r="E7" i="1" s="1"/>
  <c r="F7" i="1" s="1"/>
  <c r="H7" i="1" s="1"/>
  <c r="C38" i="1"/>
  <c r="E38" i="1" s="1"/>
  <c r="F38" i="1" s="1"/>
  <c r="C14" i="1"/>
  <c r="D45" i="2"/>
  <c r="D37" i="2"/>
  <c r="D29" i="2"/>
  <c r="D21" i="2"/>
  <c r="D13" i="2"/>
  <c r="D5" i="2"/>
  <c r="H52" i="2"/>
  <c r="H44" i="2"/>
  <c r="H36" i="2"/>
  <c r="H28" i="2"/>
  <c r="H20" i="2"/>
  <c r="H12" i="2"/>
  <c r="H4" i="2"/>
  <c r="H41" i="2"/>
  <c r="D52" i="2"/>
  <c r="D44" i="2"/>
  <c r="D36" i="2"/>
  <c r="D28" i="2"/>
  <c r="D20" i="2"/>
  <c r="D12" i="2"/>
  <c r="D4" i="2"/>
  <c r="H51" i="2"/>
  <c r="H43" i="2"/>
  <c r="H35" i="2"/>
  <c r="H27" i="2"/>
  <c r="H19" i="2"/>
  <c r="H11" i="2"/>
  <c r="H3" i="2"/>
  <c r="H49" i="2"/>
  <c r="H25" i="2"/>
  <c r="H9" i="2"/>
  <c r="D7" i="2"/>
  <c r="H30" i="2"/>
  <c r="D51" i="2"/>
  <c r="D43" i="2"/>
  <c r="D35" i="2"/>
  <c r="D27" i="2"/>
  <c r="D19" i="2"/>
  <c r="D11" i="2"/>
  <c r="D3" i="2"/>
  <c r="H50" i="2"/>
  <c r="H42" i="2"/>
  <c r="H34" i="2"/>
  <c r="H26" i="2"/>
  <c r="H18" i="2"/>
  <c r="H10" i="2"/>
  <c r="H2" i="2"/>
  <c r="H33" i="2"/>
  <c r="H17" i="2"/>
  <c r="H46" i="2"/>
  <c r="H22" i="2"/>
  <c r="I22" i="2" s="1"/>
  <c r="D46" i="2"/>
  <c r="D22" i="2"/>
  <c r="D6" i="2"/>
  <c r="H45" i="2"/>
  <c r="H29" i="2"/>
  <c r="H5" i="2"/>
  <c r="D50" i="2"/>
  <c r="D42" i="2"/>
  <c r="D34" i="2"/>
  <c r="D26" i="2"/>
  <c r="D18" i="2"/>
  <c r="D10" i="2"/>
  <c r="D2" i="2"/>
  <c r="H6" i="2"/>
  <c r="D14" i="2"/>
  <c r="H55" i="2"/>
  <c r="D49" i="2"/>
  <c r="D41" i="2"/>
  <c r="D33" i="2"/>
  <c r="D25" i="2"/>
  <c r="D17" i="2"/>
  <c r="D9" i="2"/>
  <c r="H48" i="2"/>
  <c r="H40" i="2"/>
  <c r="I40" i="2" s="1"/>
  <c r="H32" i="2"/>
  <c r="H24" i="2"/>
  <c r="H16" i="2"/>
  <c r="H8" i="2"/>
  <c r="I8" i="2" s="1"/>
  <c r="D48" i="2"/>
  <c r="D40" i="2"/>
  <c r="D32" i="2"/>
  <c r="D24" i="2"/>
  <c r="D16" i="2"/>
  <c r="D8" i="2"/>
  <c r="H47" i="2"/>
  <c r="H39" i="2"/>
  <c r="I39" i="2" s="1"/>
  <c r="H31" i="2"/>
  <c r="H23" i="2"/>
  <c r="H15" i="2"/>
  <c r="H7" i="2"/>
  <c r="D47" i="2"/>
  <c r="D39" i="2"/>
  <c r="D31" i="2"/>
  <c r="D23" i="2"/>
  <c r="D15" i="2"/>
  <c r="H38" i="2"/>
  <c r="H14" i="2"/>
  <c r="D38" i="2"/>
  <c r="D30" i="2"/>
  <c r="H37" i="2"/>
  <c r="H21" i="2"/>
  <c r="H13" i="2"/>
  <c r="I13" i="2" s="1"/>
  <c r="D55" i="2"/>
  <c r="H19" i="1"/>
  <c r="G19" i="1"/>
  <c r="G52" i="1"/>
  <c r="H44" i="1"/>
  <c r="G44" i="1"/>
  <c r="I44" i="1" s="1"/>
  <c r="H4" i="1"/>
  <c r="G4" i="1"/>
  <c r="H33" i="1"/>
  <c r="G33" i="1"/>
  <c r="H3" i="1"/>
  <c r="G3" i="1"/>
  <c r="H25" i="1"/>
  <c r="G25" i="1"/>
  <c r="G46" i="1"/>
  <c r="H31" i="1"/>
  <c r="G31" i="1"/>
  <c r="G38" i="1"/>
  <c r="H38" i="1"/>
  <c r="G26" i="1"/>
  <c r="H26" i="1"/>
  <c r="G40" i="1"/>
  <c r="H10" i="1"/>
  <c r="G10" i="1"/>
  <c r="H16" i="1"/>
  <c r="H50" i="1"/>
  <c r="G50" i="1"/>
  <c r="G15" i="1"/>
  <c r="H15" i="1"/>
  <c r="H51" i="1"/>
  <c r="G51" i="1"/>
  <c r="H17" i="1"/>
  <c r="G17" i="1"/>
  <c r="G23" i="1"/>
  <c r="H23" i="1"/>
  <c r="H9" i="1"/>
  <c r="G9" i="1"/>
  <c r="H29" i="1"/>
  <c r="H48" i="1"/>
  <c r="G48" i="1"/>
  <c r="H13" i="1"/>
  <c r="G13" i="1"/>
  <c r="H43" i="1"/>
  <c r="G43" i="1"/>
  <c r="H34" i="1"/>
  <c r="H39" i="1"/>
  <c r="G39" i="1"/>
  <c r="G28" i="1"/>
  <c r="H28" i="1"/>
  <c r="I14" i="2" l="1"/>
  <c r="I45" i="2"/>
  <c r="I37" i="2"/>
  <c r="G49" i="1"/>
  <c r="H41" i="1"/>
  <c r="I7" i="2"/>
  <c r="I55" i="2"/>
  <c r="I34" i="2"/>
  <c r="I11" i="2"/>
  <c r="F37" i="1"/>
  <c r="F10" i="4"/>
  <c r="I3" i="2"/>
  <c r="G12" i="1"/>
  <c r="H8" i="1"/>
  <c r="G27" i="1"/>
  <c r="I27" i="1" s="1"/>
  <c r="K27" i="1" s="1"/>
  <c r="I21" i="2"/>
  <c r="I15" i="2"/>
  <c r="I47" i="2"/>
  <c r="I16" i="2"/>
  <c r="I48" i="2"/>
  <c r="I46" i="2"/>
  <c r="I10" i="2"/>
  <c r="I25" i="2"/>
  <c r="I51" i="2"/>
  <c r="I41" i="2"/>
  <c r="I43" i="1"/>
  <c r="I13" i="1"/>
  <c r="K13" i="1" s="1"/>
  <c r="G20" i="1"/>
  <c r="I20" i="1" s="1"/>
  <c r="K44" i="1"/>
  <c r="J44" i="1"/>
  <c r="G24" i="1"/>
  <c r="I24" i="1" s="1"/>
  <c r="I42" i="2"/>
  <c r="I19" i="2"/>
  <c r="I28" i="2"/>
  <c r="E30" i="1"/>
  <c r="F30" i="1"/>
  <c r="H45" i="1"/>
  <c r="I45" i="1" s="1"/>
  <c r="G7" i="1"/>
  <c r="I7" i="1" s="1"/>
  <c r="G18" i="1"/>
  <c r="I18" i="1" s="1"/>
  <c r="H35" i="1"/>
  <c r="I35" i="1" s="1"/>
  <c r="H32" i="1"/>
  <c r="I15" i="1"/>
  <c r="I38" i="2"/>
  <c r="I23" i="2"/>
  <c r="I6" i="2"/>
  <c r="I5" i="2"/>
  <c r="I17" i="2"/>
  <c r="I50" i="2"/>
  <c r="I30" i="2"/>
  <c r="I27" i="2"/>
  <c r="I36" i="2"/>
  <c r="D4" i="4"/>
  <c r="E6" i="1"/>
  <c r="E21" i="1"/>
  <c r="F21" i="1" s="1"/>
  <c r="G22" i="1"/>
  <c r="I22" i="1" s="1"/>
  <c r="I48" i="1"/>
  <c r="G42" i="1"/>
  <c r="I12" i="1"/>
  <c r="G36" i="1"/>
  <c r="G5" i="1"/>
  <c r="I5" i="1" s="1"/>
  <c r="I3" i="1"/>
  <c r="H11" i="1"/>
  <c r="I31" i="2"/>
  <c r="D57" i="2"/>
  <c r="I29" i="2"/>
  <c r="I33" i="2"/>
  <c r="I35" i="2"/>
  <c r="I44" i="2"/>
  <c r="E14" i="1"/>
  <c r="F14" i="1" s="1"/>
  <c r="C57" i="1"/>
  <c r="E2" i="1"/>
  <c r="E47" i="1"/>
  <c r="F47" i="1"/>
  <c r="J43" i="1"/>
  <c r="K43" i="1"/>
  <c r="I20" i="2"/>
  <c r="I2" i="2"/>
  <c r="H57" i="2"/>
  <c r="I9" i="2"/>
  <c r="I43" i="2"/>
  <c r="I52" i="2"/>
  <c r="I24" i="2"/>
  <c r="I18" i="2"/>
  <c r="I49" i="2"/>
  <c r="I4" i="2"/>
  <c r="H55" i="1"/>
  <c r="G55" i="1"/>
  <c r="I55" i="1" s="1"/>
  <c r="I39" i="1"/>
  <c r="I51" i="1"/>
  <c r="I8" i="1"/>
  <c r="I31" i="1"/>
  <c r="I25" i="1"/>
  <c r="I4" i="1"/>
  <c r="I19" i="1"/>
  <c r="I32" i="2"/>
  <c r="I26" i="2"/>
  <c r="I12" i="2"/>
  <c r="I23" i="1"/>
  <c r="I28" i="1"/>
  <c r="I29" i="1"/>
  <c r="I40" i="1"/>
  <c r="I46" i="1"/>
  <c r="I33" i="1"/>
  <c r="I52" i="1"/>
  <c r="I32" i="1"/>
  <c r="I9" i="1"/>
  <c r="I16" i="1"/>
  <c r="I26" i="1"/>
  <c r="I50" i="1"/>
  <c r="I11" i="1"/>
  <c r="I41" i="1"/>
  <c r="I38" i="1"/>
  <c r="I49" i="1"/>
  <c r="I34" i="1"/>
  <c r="I42" i="1"/>
  <c r="I17" i="1"/>
  <c r="I10" i="1"/>
  <c r="I36" i="1"/>
  <c r="J13" i="1" l="1"/>
  <c r="J27" i="1"/>
  <c r="H37" i="1"/>
  <c r="E10" i="4" s="1"/>
  <c r="G37" i="1"/>
  <c r="I57" i="2"/>
  <c r="E3" i="4" s="1"/>
  <c r="E4" i="4"/>
  <c r="K18" i="1"/>
  <c r="J18" i="1"/>
  <c r="H14" i="1"/>
  <c r="G14" i="1"/>
  <c r="J35" i="1"/>
  <c r="K35" i="1"/>
  <c r="H21" i="1"/>
  <c r="G21" i="1"/>
  <c r="H30" i="1"/>
  <c r="G30" i="1"/>
  <c r="K20" i="1"/>
  <c r="J20" i="1"/>
  <c r="K11" i="1"/>
  <c r="J11" i="1"/>
  <c r="F6" i="1"/>
  <c r="K42" i="1"/>
  <c r="J42" i="1"/>
  <c r="K50" i="1"/>
  <c r="J50" i="1"/>
  <c r="K39" i="1"/>
  <c r="J39" i="1"/>
  <c r="K34" i="1"/>
  <c r="J34" i="1"/>
  <c r="K55" i="1"/>
  <c r="J55" i="1"/>
  <c r="G47" i="1"/>
  <c r="H47" i="1"/>
  <c r="K12" i="1"/>
  <c r="J12" i="1"/>
  <c r="J51" i="1"/>
  <c r="K51" i="1"/>
  <c r="J5" i="1"/>
  <c r="K5" i="1"/>
  <c r="K52" i="1"/>
  <c r="J52" i="1"/>
  <c r="K33" i="1"/>
  <c r="J33" i="1"/>
  <c r="K26" i="1"/>
  <c r="J26" i="1"/>
  <c r="K46" i="1"/>
  <c r="J46" i="1"/>
  <c r="K19" i="1"/>
  <c r="J19" i="1"/>
  <c r="J15" i="1"/>
  <c r="K15" i="1"/>
  <c r="K16" i="1"/>
  <c r="J16" i="1"/>
  <c r="K40" i="1"/>
  <c r="J40" i="1"/>
  <c r="K4" i="1"/>
  <c r="J4" i="1"/>
  <c r="F2" i="1"/>
  <c r="E58" i="1"/>
  <c r="K48" i="1"/>
  <c r="J48" i="1"/>
  <c r="J45" i="1"/>
  <c r="K45" i="1"/>
  <c r="K22" i="1"/>
  <c r="J22" i="1"/>
  <c r="K10" i="1"/>
  <c r="J10" i="1"/>
  <c r="K38" i="1"/>
  <c r="J38" i="1"/>
  <c r="K28" i="1"/>
  <c r="J28" i="1"/>
  <c r="K31" i="1"/>
  <c r="J31" i="1"/>
  <c r="K24" i="1"/>
  <c r="J24" i="1"/>
  <c r="K36" i="1"/>
  <c r="J36" i="1"/>
  <c r="J49" i="1"/>
  <c r="K49" i="1"/>
  <c r="K9" i="1"/>
  <c r="J9" i="1"/>
  <c r="K29" i="1"/>
  <c r="J29" i="1"/>
  <c r="K25" i="1"/>
  <c r="J25" i="1"/>
  <c r="K17" i="1"/>
  <c r="J17" i="1"/>
  <c r="J41" i="1"/>
  <c r="K41" i="1"/>
  <c r="K32" i="1"/>
  <c r="J32" i="1"/>
  <c r="J23" i="1"/>
  <c r="K23" i="1"/>
  <c r="K8" i="1"/>
  <c r="J8" i="1"/>
  <c r="K3" i="1"/>
  <c r="J3" i="1"/>
  <c r="J7" i="1"/>
  <c r="K7" i="1"/>
  <c r="I21" i="1" l="1"/>
  <c r="I14" i="1"/>
  <c r="D10" i="4"/>
  <c r="I37" i="1"/>
  <c r="K21" i="1"/>
  <c r="J21" i="1"/>
  <c r="K14" i="1"/>
  <c r="J14" i="1"/>
  <c r="I47" i="1"/>
  <c r="I30" i="1"/>
  <c r="F9" i="4"/>
  <c r="E59" i="1"/>
  <c r="G2" i="1"/>
  <c r="H2" i="1"/>
  <c r="I2" i="1"/>
  <c r="H6" i="1"/>
  <c r="G6" i="1"/>
  <c r="I6" i="1" s="1"/>
  <c r="J37" i="1" l="1"/>
  <c r="B10" i="4" s="1"/>
  <c r="K37" i="1"/>
  <c r="C10" i="4" s="1"/>
  <c r="K30" i="1"/>
  <c r="J30" i="1"/>
  <c r="K47" i="1"/>
  <c r="J47" i="1"/>
  <c r="H57" i="1"/>
  <c r="E9" i="4" s="1"/>
  <c r="K6" i="1"/>
  <c r="J6" i="1"/>
  <c r="K2" i="1"/>
  <c r="K57" i="1" s="1"/>
  <c r="C9" i="4" s="1"/>
  <c r="J2" i="1"/>
  <c r="I57" i="1"/>
  <c r="G57" i="1"/>
  <c r="D9" i="4" s="1"/>
  <c r="J57" i="1" l="1"/>
  <c r="B9" i="4" s="1"/>
</calcChain>
</file>

<file path=xl/sharedStrings.xml><?xml version="1.0" encoding="utf-8"?>
<sst xmlns="http://schemas.openxmlformats.org/spreadsheetml/2006/main" count="157" uniqueCount="94">
  <si>
    <t>State or Other Area</t>
  </si>
  <si>
    <t>Proportional Title I, Part A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</si>
  <si>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</si>
  <si>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</si>
  <si>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</si>
  <si>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</si>
  <si>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</si>
  <si>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</si>
  <si>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</si>
  <si>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</si>
  <si>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</si>
  <si>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</si>
  <si>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</si>
  <si>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</si>
  <si>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</si>
  <si>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</si>
  <si>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</si>
  <si>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</si>
  <si>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</si>
  <si>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</si>
  <si>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</si>
  <si>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</si>
  <si>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</si>
  <si>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</si>
  <si>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</si>
  <si>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</si>
  <si>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</si>
  <si>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</si>
  <si>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</si>
  <si>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</si>
  <si>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</si>
  <si>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</si>
  <si>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</si>
  <si>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</si>
  <si>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</si>
  <si>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</si>
  <si>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</si>
  <si>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</si>
  <si>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</si>
  <si>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</si>
  <si>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</si>
  <si>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</si>
  <si>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</si>
  <si>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</si>
  <si>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</si>
  <si>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</si>
  <si>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</si>
  <si>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</si>
  <si>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</si>
  <si>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</si>
  <si>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</si>
  <si>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</si>
  <si>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</si>
  <si>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</si>
  <si>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Total</t>
  </si>
  <si>
    <t>BIE</t>
  </si>
  <si>
    <t>Outlay Areas</t>
  </si>
  <si>
    <t>Remaining</t>
  </si>
  <si>
    <t>GEER</t>
  </si>
  <si>
    <t>ESSA</t>
  </si>
  <si>
    <t>Higher Ed</t>
  </si>
  <si>
    <t>Funding to All Districts</t>
  </si>
  <si>
    <t>Funding to Districts with In-person Education</t>
  </si>
  <si>
    <t>5% Set Aside for Emergency Needs</t>
  </si>
  <si>
    <t>5% Set Aside for Admin. Costs</t>
  </si>
  <si>
    <t>Percent of Students in Private Schools</t>
  </si>
  <si>
    <t>Private School Funding</t>
  </si>
  <si>
    <t>Public School Funding</t>
  </si>
  <si>
    <t xml:space="preserve">Remaining to Districts </t>
  </si>
  <si>
    <t>40% Title I, Part A Enrollment (F/R L Count 2015-16)</t>
  </si>
  <si>
    <t>Funding</t>
  </si>
  <si>
    <t>Percentage</t>
  </si>
  <si>
    <t>60% Age 5 to 24 (2018)</t>
  </si>
  <si>
    <t>Funding to All Pulbic Schools</t>
  </si>
  <si>
    <t>Funding to Public Schools That Open for In-Person Education</t>
  </si>
  <si>
    <t>ESSER Funds</t>
  </si>
  <si>
    <t>Total HEALS K-12 Funding</t>
  </si>
  <si>
    <t>United States</t>
  </si>
  <si>
    <t>Breakdown of ESSER Funding</t>
  </si>
  <si>
    <t>State Administration Costs</t>
  </si>
  <si>
    <t>State Emergency Funding</t>
  </si>
  <si>
    <t>Notes:</t>
  </si>
  <si>
    <t>Estimated GEER                          K-12 Funding*</t>
  </si>
  <si>
    <t xml:space="preserve">  *Assumes that GEER funding will be equally split between higher education and K-12.</t>
  </si>
  <si>
    <t>Total Funding GEER Funding</t>
  </si>
  <si>
    <t>Estimated GEER Funding for K-12</t>
  </si>
  <si>
    <t>Estimated GEER Funding for Higher Education</t>
  </si>
  <si>
    <t>Total HEALS Funding Going to Public Schools</t>
  </si>
  <si>
    <t>Funding Per Low-Income Public School Student</t>
  </si>
  <si>
    <t>Funding Per Low-Income Private School Student</t>
  </si>
  <si>
    <t>Funder Per all Public School Students**</t>
  </si>
  <si>
    <r>
      <t>Private Schools</t>
    </r>
    <r>
      <rPr>
        <sz val="12"/>
        <color rgb="FF000000"/>
        <rFont val="Calibri"/>
        <family val="2"/>
        <scheme val="minor"/>
      </rPr>
      <t>: We divided the total funding of private school funding from ESSER ($7.1 billion) by the total number of private school students who receive free/reduced-price lunch. This information was based on a data provided by the Department of Agriculture.</t>
    </r>
  </si>
  <si>
    <r>
      <t>Public Schools</t>
    </r>
    <r>
      <rPr>
        <sz val="12"/>
        <color rgb="FF000000"/>
        <rFont val="Calibri"/>
        <family val="2"/>
        <scheme val="minor"/>
      </rPr>
      <t>: We divided the total HEALS funding minus private school funding – which equates to $65.2 billion. We then divided that amount by the number of public school students who receive free/reduced-price lunch.</t>
    </r>
  </si>
  <si>
    <t>**Methodology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</si>
</sst>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0000%"/>
  </numFmts>
  <fonts count="10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000000"/>
      <name val="Verdana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wrapText="1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0" applyNumberFormat="1"/>
    <xf numFmtId="164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/>
    <xf numFmtId="3" fontId="0" fillId="0" borderId="0" xfId="0" applyNumberFormat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3" fontId="0" fillId="0" borderId="0" xfId="0" applyNumberFormat="1" applyAlignment="1">
      <alignment horizontal="center"/>
    </xf>
    <xf numFmtId="0" fontId="0" fillId="3" borderId="0" xfId="0" applyFill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/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4" borderId="0" xfId="0" applyFill="1"/>
    <xf numFmtId="0" fontId="0" fillId="4" borderId="1" xfId="0" applyFill="1" applyBorder="1"/>
    <xf numFmtId="164" fontId="0" fillId="4" borderId="0" xfId="0" applyNumberFormat="1" applyFill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E801-722A-6D46-895A-9436307F8DC1}">
  <dimension ref="A1:J18"/>
  <sheetViews>
    <sheetView tabSelected="1" topLeftCell="B3" zoomScale="110" zoomScaleNormal="110" workbookViewId="0">
      <selection activeCell="B16" sqref="B16"/>
    </sheetView>
  </sheetViews>
  <sheetFormatPr baseColWidth="10" defaultRowHeight="16" x14ac:dyDescent="0.2"/>
  <cols>
    <col min="1" max="1" width="22.5" customWidth="1"/>
    <col min="2" max="2" width="22.1640625" customWidth="1"/>
    <col min="3" max="3" width="26.5" customWidth="1"/>
    <col min="4" max="4" width="22.6640625" customWidth="1"/>
    <col min="5" max="5" width="24.1640625" customWidth="1"/>
    <col min="6" max="6" width="23" customWidth="1"/>
    <col min="7" max="7" width="24.6640625" customWidth="1"/>
    <col min="8" max="8" width="20.33203125" customWidth="1"/>
    <col min="9" max="9" width="23.5" customWidth="1"/>
    <col min="10" max="10" width="13.6640625" bestFit="1" customWidth="1"/>
  </cols>
  <sheetData>
    <row r="1" spans="1:10" ht="35" customHeight="1" x14ac:dyDescent="0.25">
      <c r="E1" s="29"/>
      <c r="F1" s="29"/>
      <c r="G1" s="29"/>
      <c r="H1" s="29"/>
      <c r="I1" s="29"/>
    </row>
    <row r="2" spans="1:10" ht="39" customHeight="1" x14ac:dyDescent="0.25">
      <c r="A2" s="23"/>
      <c r="C2" s="35" t="s">
        <v>82</v>
      </c>
      <c r="D2" s="31" t="s">
        <v>75</v>
      </c>
      <c r="E2" s="30" t="s">
        <v>76</v>
      </c>
      <c r="F2" s="35" t="s">
        <v>87</v>
      </c>
      <c r="G2" s="37" t="s">
        <v>88</v>
      </c>
      <c r="H2" s="37" t="s">
        <v>90</v>
      </c>
    </row>
    <row r="3" spans="1:10" ht="32" customHeight="1" x14ac:dyDescent="0.2">
      <c r="B3" s="26" t="s">
        <v>77</v>
      </c>
      <c r="C3" s="32">
        <f>SUM(GEER!I57)*0.5</f>
        <v>2598750000.0000005</v>
      </c>
      <c r="D3" s="33">
        <f>SUM('Overall ED'!B7)</f>
        <v>69646500000</v>
      </c>
      <c r="E3" s="34">
        <f>SUM(C3:D3)</f>
        <v>72245250000</v>
      </c>
      <c r="F3" s="27">
        <f>SUM(E3-F9)</f>
        <v>65162532299.726135</v>
      </c>
      <c r="G3" s="27">
        <f>SUM(F3/GEER!F57)</f>
        <v>2495.3481066698469</v>
      </c>
      <c r="H3" s="27">
        <f>SUM(F3/49694254)</f>
        <v>1311.2689507267005</v>
      </c>
    </row>
    <row r="4" spans="1:10" ht="31" customHeight="1" x14ac:dyDescent="0.2">
      <c r="B4" s="28" t="s">
        <v>2</v>
      </c>
      <c r="C4" s="32">
        <f>VLOOKUP(B4,GEER!A2:I52,9,FALSE)*0.5</f>
        <v>38216742.53077089</v>
      </c>
      <c r="D4" s="33">
        <f>VLOOKUP(B4,ESSER!A2:K52,3,TRUE)</f>
        <v>1142139709.348932</v>
      </c>
      <c r="E4" s="34">
        <f>SUM(C4:D4)</f>
        <v>1180356451.8797028</v>
      </c>
      <c r="F4" s="38"/>
      <c r="G4" s="39"/>
      <c r="J4" s="4"/>
    </row>
    <row r="7" spans="1:10" ht="21" x14ac:dyDescent="0.25">
      <c r="A7" s="41" t="s">
        <v>78</v>
      </c>
      <c r="B7" s="41"/>
      <c r="C7" s="41"/>
      <c r="D7" s="41"/>
      <c r="E7" s="41"/>
      <c r="F7" s="41"/>
    </row>
    <row r="8" spans="1:10" ht="60" x14ac:dyDescent="0.25">
      <c r="B8" s="25" t="s">
        <v>73</v>
      </c>
      <c r="C8" s="25" t="s">
        <v>74</v>
      </c>
      <c r="D8" s="25" t="s">
        <v>79</v>
      </c>
      <c r="E8" s="25" t="s">
        <v>80</v>
      </c>
      <c r="F8" s="24" t="s">
        <v>66</v>
      </c>
      <c r="G8" s="37" t="s">
        <v>89</v>
      </c>
      <c r="H8" s="37" t="s">
        <v>90</v>
      </c>
    </row>
    <row r="9" spans="1:10" ht="35" customHeight="1" x14ac:dyDescent="0.2">
      <c r="A9" s="26" t="s">
        <v>77</v>
      </c>
      <c r="B9" s="27">
        <f>SUM(ESSER!J57)</f>
        <v>18769131529.29401</v>
      </c>
      <c r="C9" s="27">
        <f>SUM(ESSER!K57)</f>
        <v>37538263064.21875</v>
      </c>
      <c r="D9" s="27">
        <f>SUM(ESSER!G57)</f>
        <v>3128188588.5284867</v>
      </c>
      <c r="E9" s="27">
        <f>SUM(ESSER!H57)</f>
        <v>3128188588.5284867</v>
      </c>
      <c r="F9" s="27">
        <f>SUM(ESSER!E58)</f>
        <v>7082717700.2738686</v>
      </c>
      <c r="G9" s="27">
        <f>SUM(F9/217739)</f>
        <v>32528.475377740637</v>
      </c>
      <c r="H9" s="27">
        <f>SUM(F9/5750520)</f>
        <v>1231.6656059406573</v>
      </c>
      <c r="I9" s="8"/>
    </row>
    <row r="10" spans="1:10" ht="31" customHeight="1" x14ac:dyDescent="0.2">
      <c r="A10" s="28" t="s">
        <v>6</v>
      </c>
      <c r="B10" s="27">
        <f>VLOOKUP(A10,ESSER!A2:K52,10,TRUE)</f>
        <v>2366340103.4642925</v>
      </c>
      <c r="C10" s="27">
        <f>VLOOKUP(A10,ESSER!A2:K52,11,TRUE)</f>
        <v>4732680207.6384869</v>
      </c>
      <c r="D10" s="27">
        <f>VLOOKUP(A10,ESSER!A2:K52,7,TRUE)</f>
        <v>394390017.2834878</v>
      </c>
      <c r="E10" s="27">
        <f>VLOOKUP(A10,ESSER!A2:K52,8,TRUE)</f>
        <v>394390017.2834878</v>
      </c>
      <c r="F10" s="27">
        <f>VLOOKUP(A10,ESSER!A2:K52,5,TRUE)</f>
        <v>784570895.58967984</v>
      </c>
      <c r="G10" s="40"/>
    </row>
    <row r="14" spans="1:10" x14ac:dyDescent="0.2">
      <c r="A14" s="36" t="s">
        <v>81</v>
      </c>
      <c r="B14" t="s">
        <v>83</v>
      </c>
    </row>
    <row r="16" spans="1:10" x14ac:dyDescent="0.2">
      <c r="B16" s="42" t="s">
        <v>93</v>
      </c>
      <c r="E16" s="4"/>
    </row>
    <row r="17" spans="2:8" ht="64" customHeight="1" x14ac:dyDescent="0.2">
      <c r="B17" s="43" t="s">
        <v>91</v>
      </c>
      <c r="C17" s="43"/>
      <c r="D17" s="43"/>
      <c r="E17" s="44"/>
      <c r="F17" s="44"/>
      <c r="G17" s="44"/>
      <c r="H17" s="44"/>
    </row>
    <row r="18" spans="2:8" ht="53" customHeight="1" x14ac:dyDescent="0.2">
      <c r="B18" s="43" t="s">
        <v>92</v>
      </c>
      <c r="C18" s="43"/>
      <c r="D18" s="43"/>
      <c r="E18" s="45"/>
      <c r="F18" s="45"/>
      <c r="G18" s="45"/>
      <c r="H18" s="45"/>
    </row>
  </sheetData>
  <mergeCells count="3">
    <mergeCell ref="A7:F7"/>
    <mergeCell ref="B17:D17"/>
    <mergeCell ref="B18:D1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90A38B-1B1D-EA42-B8A2-0563A47F4DA2}">
          <x14:formula1>
            <xm:f>ESSER!$A$2:$A$52</xm:f>
          </x14:formula1>
          <xm:sqref>B4 A10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FEA77-F30F-2042-9296-28A62A20BB08}">
  <dimension ref="A1:L5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6" x14ac:dyDescent="0.2"/>
  <cols>
    <col min="1" max="1" width="22.6640625" customWidth="1"/>
    <col min="2" max="2" width="20.1640625" customWidth="1"/>
    <col min="3" max="9" width="20.33203125" customWidth="1"/>
    <col min="10" max="10" width="16.5" style="4" customWidth="1"/>
    <col min="11" max="11" width="21.33203125" style="4" customWidth="1"/>
    <col min="12" max="12" width="16.33203125" bestFit="1" customWidth="1"/>
  </cols>
  <sheetData>
    <row r="1" spans="1:12" ht="34" x14ac:dyDescent="0.2">
      <c r="A1" s="1" t="s">
        <v>0</v>
      </c>
      <c r="B1" s="3" t="s">
        <v>1</v>
      </c>
      <c r="C1" s="11" t="s">
        <v>54</v>
      </c>
      <c r="D1" s="7" t="s">
        <v>65</v>
      </c>
      <c r="E1" s="14" t="s">
        <v>66</v>
      </c>
      <c r="F1" s="7" t="s">
        <v>67</v>
      </c>
      <c r="G1" s="7" t="s">
        <v>64</v>
      </c>
      <c r="H1" s="7" t="s">
        <v>63</v>
      </c>
      <c r="I1" s="6" t="s">
        <v>68</v>
      </c>
      <c r="J1" s="9" t="s">
        <v>61</v>
      </c>
      <c r="K1" s="9" t="s">
        <v>62</v>
      </c>
    </row>
    <row r="2" spans="1:12" x14ac:dyDescent="0.2">
      <c r="A2" s="1" t="s">
        <v>2</v>
      </c>
      <c r="B2" s="2">
        <v>1.6399097001987637E-2</v>
      </c>
      <c r="C2" s="5">
        <f>SUM('Overall ED'!$B$7*ESSER!B2)</f>
        <v>1142139709.348932</v>
      </c>
      <c r="D2" s="13">
        <v>9.1676344767536291E-2</v>
      </c>
      <c r="E2" s="15">
        <f>SUM(C2*D2)</f>
        <v>104707193.76696639</v>
      </c>
      <c r="F2" s="5">
        <f>SUM(C2-E2)</f>
        <v>1037432515.5819657</v>
      </c>
      <c r="G2" s="5">
        <f>SUM(F2*0.05)</f>
        <v>51871625.779098287</v>
      </c>
      <c r="H2" s="5">
        <f>SUM(F2*0.05)</f>
        <v>51871625.779098287</v>
      </c>
      <c r="I2" s="5">
        <f>SUM(F2-(G2+H2))</f>
        <v>933689264.02376914</v>
      </c>
      <c r="J2" s="5">
        <f>SUM(I2*0.3333333333)</f>
        <v>311229754.64346671</v>
      </c>
      <c r="K2" s="5">
        <f>SUM(I2*0.6666666667)</f>
        <v>622459509.38030243</v>
      </c>
      <c r="L2" s="8"/>
    </row>
    <row r="3" spans="1:12" x14ac:dyDescent="0.2">
      <c r="A3" s="1" t="s">
        <v>3</v>
      </c>
      <c r="B3" s="2">
        <v>2.9032603096241553E-3</v>
      </c>
      <c r="C3" s="5">
        <f>SUM('Overall ED'!$B$7*ESSER!B3)</f>
        <v>202201919.15423873</v>
      </c>
      <c r="D3" s="13">
        <v>4.0139982755747483E-2</v>
      </c>
      <c r="E3" s="15">
        <f t="shared" ref="E3:E52" si="0">SUM(C3*D3)</f>
        <v>8116381.5480301892</v>
      </c>
      <c r="F3" s="5">
        <f t="shared" ref="F3:F52" si="1">SUM(C3-E3)</f>
        <v>194085537.60620853</v>
      </c>
      <c r="G3" s="5">
        <f t="shared" ref="G3:G52" si="2">SUM(F3*0.05)</f>
        <v>9704276.8803104274</v>
      </c>
      <c r="H3" s="5">
        <f t="shared" ref="H3:H52" si="3">SUM(F3*0.05)</f>
        <v>9704276.8803104274</v>
      </c>
      <c r="I3" s="5">
        <f t="shared" ref="I3:I52" si="4">SUM(F3-(G3+H3))</f>
        <v>174676983.84558767</v>
      </c>
      <c r="J3" s="5">
        <f t="shared" ref="J3:J52" si="5">SUM(I3*0.3333333333)</f>
        <v>58225661.276039988</v>
      </c>
      <c r="K3" s="5">
        <f t="shared" ref="K3:K52" si="6">SUM(I3*0.6666666667)</f>
        <v>116451322.56954767</v>
      </c>
    </row>
    <row r="4" spans="1:12" x14ac:dyDescent="0.2">
      <c r="A4" s="1" t="s">
        <v>4</v>
      </c>
      <c r="B4" s="2">
        <v>2.0970401605833733E-2</v>
      </c>
      <c r="C4" s="5">
        <f>SUM('Overall ED'!$B$7*ESSER!B4)</f>
        <v>1460515075.4406991</v>
      </c>
      <c r="D4" s="13">
        <v>4.8565178226740446E-2</v>
      </c>
      <c r="E4" s="15">
        <f t="shared" si="0"/>
        <v>70930174.941618815</v>
      </c>
      <c r="F4" s="5">
        <f t="shared" si="1"/>
        <v>1389584900.4990802</v>
      </c>
      <c r="G4" s="5">
        <f t="shared" si="2"/>
        <v>69479245.024954006</v>
      </c>
      <c r="H4" s="5">
        <f t="shared" si="3"/>
        <v>69479245.024954006</v>
      </c>
      <c r="I4" s="5">
        <f t="shared" si="4"/>
        <v>1250626410.4491723</v>
      </c>
      <c r="J4" s="5">
        <f t="shared" si="5"/>
        <v>416875470.10803652</v>
      </c>
      <c r="K4" s="5">
        <f t="shared" si="6"/>
        <v>833750940.34113562</v>
      </c>
    </row>
    <row r="5" spans="1:12" x14ac:dyDescent="0.2">
      <c r="A5" s="1" t="s">
        <v>5</v>
      </c>
      <c r="B5" s="2">
        <v>9.732891434255795E-3</v>
      </c>
      <c r="C5" s="5">
        <f>SUM('Overall ED'!$B$7*ESSER!B5)</f>
        <v>677861823.27589619</v>
      </c>
      <c r="D5" s="13">
        <v>7.1557666838973549E-2</v>
      </c>
      <c r="E5" s="15">
        <f t="shared" si="0"/>
        <v>48506210.512835748</v>
      </c>
      <c r="F5" s="5">
        <f t="shared" si="1"/>
        <v>629355612.76306045</v>
      </c>
      <c r="G5" s="5">
        <f t="shared" si="2"/>
        <v>31467780.638153024</v>
      </c>
      <c r="H5" s="5">
        <f t="shared" si="3"/>
        <v>31467780.638153024</v>
      </c>
      <c r="I5" s="5">
        <f t="shared" si="4"/>
        <v>566420051.48675442</v>
      </c>
      <c r="J5" s="5">
        <f t="shared" si="5"/>
        <v>188806683.81003746</v>
      </c>
      <c r="K5" s="5">
        <f t="shared" si="6"/>
        <v>377613367.67671692</v>
      </c>
    </row>
    <row r="6" spans="1:12" x14ac:dyDescent="0.2">
      <c r="A6" s="1" t="s">
        <v>6</v>
      </c>
      <c r="B6" s="2">
        <v>0.1245198429391202</v>
      </c>
      <c r="C6" s="5">
        <f>SUM('Overall ED'!$B$7*ESSER!B6)</f>
        <v>8672371241.2594357</v>
      </c>
      <c r="D6" s="13">
        <v>9.0467863259477047E-2</v>
      </c>
      <c r="E6" s="15">
        <f t="shared" si="0"/>
        <v>784570895.58967984</v>
      </c>
      <c r="F6" s="5">
        <f t="shared" si="1"/>
        <v>7887800345.6697559</v>
      </c>
      <c r="G6" s="5">
        <f t="shared" si="2"/>
        <v>394390017.2834878</v>
      </c>
      <c r="H6" s="5">
        <f t="shared" si="3"/>
        <v>394390017.2834878</v>
      </c>
      <c r="I6" s="5">
        <f t="shared" si="4"/>
        <v>7099020311.1027803</v>
      </c>
      <c r="J6" s="5">
        <f t="shared" si="5"/>
        <v>2366340103.4642925</v>
      </c>
      <c r="K6" s="5">
        <f t="shared" si="6"/>
        <v>4732680207.6384869</v>
      </c>
    </row>
    <row r="7" spans="1:12" x14ac:dyDescent="0.2">
      <c r="A7" s="1" t="s">
        <v>7</v>
      </c>
      <c r="B7" s="2">
        <v>9.1459351672220635E-3</v>
      </c>
      <c r="C7" s="5">
        <f>SUM('Overall ED'!$B$7*ESSER!B7)</f>
        <v>636982373.62393141</v>
      </c>
      <c r="D7" s="13">
        <v>7.0446998300339514E-2</v>
      </c>
      <c r="E7" s="15">
        <f t="shared" si="0"/>
        <v>44873496.192031324</v>
      </c>
      <c r="F7" s="5">
        <f t="shared" si="1"/>
        <v>592108877.43190002</v>
      </c>
      <c r="G7" s="5">
        <f t="shared" si="2"/>
        <v>29605443.871595003</v>
      </c>
      <c r="H7" s="5">
        <f t="shared" si="3"/>
        <v>29605443.871595003</v>
      </c>
      <c r="I7" s="5">
        <f t="shared" si="4"/>
        <v>532897989.68871003</v>
      </c>
      <c r="J7" s="5">
        <f t="shared" si="5"/>
        <v>177632663.21180674</v>
      </c>
      <c r="K7" s="5">
        <f t="shared" si="6"/>
        <v>355265326.47690326</v>
      </c>
    </row>
    <row r="8" spans="1:12" x14ac:dyDescent="0.2">
      <c r="A8" s="1" t="s">
        <v>8</v>
      </c>
      <c r="B8" s="2">
        <v>8.3956289332778496E-3</v>
      </c>
      <c r="C8" s="5">
        <f>SUM('Overall ED'!$B$7*ESSER!B8)</f>
        <v>584726170.50153577</v>
      </c>
      <c r="D8" s="13">
        <v>0.11032956637222295</v>
      </c>
      <c r="E8" s="15">
        <f t="shared" si="0"/>
        <v>64512584.837924942</v>
      </c>
      <c r="F8" s="5">
        <f t="shared" si="1"/>
        <v>520213585.66361082</v>
      </c>
      <c r="G8" s="5">
        <f t="shared" si="2"/>
        <v>26010679.283180542</v>
      </c>
      <c r="H8" s="5">
        <f t="shared" si="3"/>
        <v>26010679.283180542</v>
      </c>
      <c r="I8" s="5">
        <f t="shared" si="4"/>
        <v>468192227.09724975</v>
      </c>
      <c r="J8" s="5">
        <f t="shared" si="5"/>
        <v>156064075.68347684</v>
      </c>
      <c r="K8" s="5">
        <f t="shared" si="6"/>
        <v>312128151.41377288</v>
      </c>
    </row>
    <row r="9" spans="1:12" x14ac:dyDescent="0.2">
      <c r="A9" s="1" t="s">
        <v>9</v>
      </c>
      <c r="B9" s="2">
        <v>3.2876354052927353E-3</v>
      </c>
      <c r="C9" s="5">
        <f>SUM('Overall ED'!$B$7*ESSER!B9)</f>
        <v>228972299.25472048</v>
      </c>
      <c r="D9" s="13">
        <v>0.12724342586420032</v>
      </c>
      <c r="E9" s="15">
        <f t="shared" si="0"/>
        <v>29135219.785173513</v>
      </c>
      <c r="F9" s="5">
        <f t="shared" si="1"/>
        <v>199837079.46954697</v>
      </c>
      <c r="G9" s="5">
        <f t="shared" si="2"/>
        <v>9991853.9734773487</v>
      </c>
      <c r="H9" s="5">
        <f t="shared" si="3"/>
        <v>9991853.9734773487</v>
      </c>
      <c r="I9" s="5">
        <f t="shared" si="4"/>
        <v>179853371.52259228</v>
      </c>
      <c r="J9" s="5">
        <f t="shared" si="5"/>
        <v>59951123.834868975</v>
      </c>
      <c r="K9" s="5">
        <f t="shared" si="6"/>
        <v>119902247.68772329</v>
      </c>
    </row>
    <row r="10" spans="1:12" x14ac:dyDescent="0.2">
      <c r="A10" s="1" t="s">
        <v>10</v>
      </c>
      <c r="B10" s="2">
        <v>3.1752330911808025E-3</v>
      </c>
      <c r="C10" s="5">
        <f>SUM('Overall ED'!$B$7*ESSER!B10)</f>
        <v>221143871.48492375</v>
      </c>
      <c r="D10" s="13">
        <v>0.16918148199418592</v>
      </c>
      <c r="E10" s="15">
        <f t="shared" si="0"/>
        <v>37413447.911751196</v>
      </c>
      <c r="F10" s="5">
        <f t="shared" si="1"/>
        <v>183730423.57317257</v>
      </c>
      <c r="G10" s="5">
        <f t="shared" si="2"/>
        <v>9186521.1786586288</v>
      </c>
      <c r="H10" s="5">
        <f t="shared" si="3"/>
        <v>9186521.1786586288</v>
      </c>
      <c r="I10" s="5">
        <f t="shared" si="4"/>
        <v>165357381.2158553</v>
      </c>
      <c r="J10" s="5">
        <f t="shared" si="5"/>
        <v>55119127.066439852</v>
      </c>
      <c r="K10" s="5">
        <f t="shared" si="6"/>
        <v>110238254.14941543</v>
      </c>
    </row>
    <row r="11" spans="1:12" x14ac:dyDescent="0.2">
      <c r="A11" s="1" t="s">
        <v>11</v>
      </c>
      <c r="B11" s="2">
        <v>5.8223038090173568E-2</v>
      </c>
      <c r="C11" s="5">
        <f>SUM('Overall ED'!$B$7*ESSER!B11)</f>
        <v>4055030822.3472733</v>
      </c>
      <c r="D11" s="13">
        <v>0.1223651158054077</v>
      </c>
      <c r="E11" s="15">
        <f t="shared" si="0"/>
        <v>496194316.1710217</v>
      </c>
      <c r="F11" s="5">
        <f t="shared" si="1"/>
        <v>3558836506.1762514</v>
      </c>
      <c r="G11" s="5">
        <f t="shared" si="2"/>
        <v>177941825.30881259</v>
      </c>
      <c r="H11" s="5">
        <f t="shared" si="3"/>
        <v>177941825.30881259</v>
      </c>
      <c r="I11" s="5">
        <f t="shared" si="4"/>
        <v>3202952855.5586262</v>
      </c>
      <c r="J11" s="5">
        <f t="shared" si="5"/>
        <v>1067650951.7461102</v>
      </c>
      <c r="K11" s="5">
        <f t="shared" si="6"/>
        <v>2135301903.8125157</v>
      </c>
    </row>
    <row r="12" spans="1:12" x14ac:dyDescent="0.2">
      <c r="A12" s="1" t="s">
        <v>12</v>
      </c>
      <c r="B12" s="2">
        <v>3.4557475415300853E-2</v>
      </c>
      <c r="C12" s="5">
        <f>SUM('Overall ED'!$B$7*ESSER!B12)</f>
        <v>2406807211.5117507</v>
      </c>
      <c r="D12" s="13">
        <v>9.7402647433029579E-2</v>
      </c>
      <c r="E12" s="15">
        <f t="shared" si="0"/>
        <v>234429394.26215211</v>
      </c>
      <c r="F12" s="5">
        <f t="shared" si="1"/>
        <v>2172377817.2495985</v>
      </c>
      <c r="G12" s="5">
        <f t="shared" si="2"/>
        <v>108618890.86247993</v>
      </c>
      <c r="H12" s="5">
        <f t="shared" si="3"/>
        <v>108618890.86247993</v>
      </c>
      <c r="I12" s="5">
        <f t="shared" si="4"/>
        <v>1955140035.5246387</v>
      </c>
      <c r="J12" s="5">
        <f t="shared" si="5"/>
        <v>651713345.10970819</v>
      </c>
      <c r="K12" s="5">
        <f t="shared" si="6"/>
        <v>1303426690.4149303</v>
      </c>
    </row>
    <row r="13" spans="1:12" x14ac:dyDescent="0.2">
      <c r="A13" s="1" t="s">
        <v>13</v>
      </c>
      <c r="B13" s="2">
        <v>3.2794716864466772E-3</v>
      </c>
      <c r="C13" s="5">
        <f>SUM('Overall ED'!$B$7*ESSER!B13)</f>
        <v>228403724.81010851</v>
      </c>
      <c r="D13" s="13">
        <v>0.20035589534040729</v>
      </c>
      <c r="E13" s="15">
        <f t="shared" si="0"/>
        <v>45762032.783413291</v>
      </c>
      <c r="F13" s="5">
        <f t="shared" si="1"/>
        <v>182641692.02669522</v>
      </c>
      <c r="G13" s="5">
        <f t="shared" si="2"/>
        <v>9132084.6013347618</v>
      </c>
      <c r="H13" s="5">
        <f t="shared" si="3"/>
        <v>9132084.6013347618</v>
      </c>
      <c r="I13" s="5">
        <f t="shared" si="4"/>
        <v>164377522.82402569</v>
      </c>
      <c r="J13" s="5">
        <f t="shared" si="5"/>
        <v>54792507.60252931</v>
      </c>
      <c r="K13" s="5">
        <f t="shared" si="6"/>
        <v>109585015.22149637</v>
      </c>
    </row>
    <row r="14" spans="1:12" x14ac:dyDescent="0.2">
      <c r="A14" s="1" t="s">
        <v>14</v>
      </c>
      <c r="B14" s="2">
        <v>3.6173589386863142E-3</v>
      </c>
      <c r="C14" s="5">
        <f>SUM('Overall ED'!$B$7*ESSER!B14)</f>
        <v>251936389.32321638</v>
      </c>
      <c r="D14" s="13">
        <v>6.4734549946081202E-2</v>
      </c>
      <c r="E14" s="15">
        <f t="shared" si="0"/>
        <v>16308988.77787911</v>
      </c>
      <c r="F14" s="5">
        <f t="shared" si="1"/>
        <v>235627400.54533726</v>
      </c>
      <c r="G14" s="5">
        <f t="shared" si="2"/>
        <v>11781370.027266864</v>
      </c>
      <c r="H14" s="5">
        <f t="shared" si="3"/>
        <v>11781370.027266864</v>
      </c>
      <c r="I14" s="5">
        <f t="shared" si="4"/>
        <v>212064660.49080354</v>
      </c>
      <c r="J14" s="5">
        <f t="shared" si="5"/>
        <v>70688220.156532347</v>
      </c>
      <c r="K14" s="5">
        <f t="shared" si="6"/>
        <v>141376440.33427116</v>
      </c>
    </row>
    <row r="15" spans="1:12" x14ac:dyDescent="0.2">
      <c r="A15" s="1" t="s">
        <v>15</v>
      </c>
      <c r="B15" s="2">
        <v>4.3046004445447268E-2</v>
      </c>
      <c r="C15" s="5">
        <f>SUM('Overall ED'!$B$7*ESSER!B15)</f>
        <v>2998003548.6098433</v>
      </c>
      <c r="D15" s="13">
        <v>0.12076380393063703</v>
      </c>
      <c r="E15" s="15">
        <f t="shared" si="0"/>
        <v>362050312.72767317</v>
      </c>
      <c r="F15" s="5">
        <f t="shared" si="1"/>
        <v>2635953235.8821702</v>
      </c>
      <c r="G15" s="5">
        <f t="shared" si="2"/>
        <v>131797661.79410851</v>
      </c>
      <c r="H15" s="5">
        <f t="shared" si="3"/>
        <v>131797661.79410851</v>
      </c>
      <c r="I15" s="5">
        <f t="shared" si="4"/>
        <v>2372357912.2939529</v>
      </c>
      <c r="J15" s="5">
        <f t="shared" si="5"/>
        <v>790785970.68557239</v>
      </c>
      <c r="K15" s="5">
        <f t="shared" si="6"/>
        <v>1581571941.6083806</v>
      </c>
    </row>
    <row r="16" spans="1:12" x14ac:dyDescent="0.2">
      <c r="A16" s="1" t="s">
        <v>16</v>
      </c>
      <c r="B16" s="2">
        <v>1.6212011778432137E-2</v>
      </c>
      <c r="C16" s="5">
        <f>SUM('Overall ED'!$B$7*ESSER!B16)</f>
        <v>1129109878.3265738</v>
      </c>
      <c r="D16" s="13">
        <v>0.14082426146674906</v>
      </c>
      <c r="E16" s="15">
        <f t="shared" si="0"/>
        <v>159006064.73015067</v>
      </c>
      <c r="F16" s="5">
        <f t="shared" si="1"/>
        <v>970103813.59642315</v>
      </c>
      <c r="G16" s="5">
        <f t="shared" si="2"/>
        <v>48505190.679821163</v>
      </c>
      <c r="H16" s="5">
        <f t="shared" si="3"/>
        <v>48505190.679821163</v>
      </c>
      <c r="I16" s="5">
        <f t="shared" si="4"/>
        <v>873093432.23678088</v>
      </c>
      <c r="J16" s="5">
        <f t="shared" si="5"/>
        <v>291031144.04982382</v>
      </c>
      <c r="K16" s="5">
        <f t="shared" si="6"/>
        <v>582062288.186957</v>
      </c>
    </row>
    <row r="17" spans="1:11" x14ac:dyDescent="0.2">
      <c r="A17" s="1" t="s">
        <v>17</v>
      </c>
      <c r="B17" s="2">
        <v>5.4142085747016181E-3</v>
      </c>
      <c r="C17" s="5">
        <f>SUM('Overall ED'!$B$7*ESSER!B17)</f>
        <v>377080677.49795622</v>
      </c>
      <c r="D17" s="13">
        <v>0.12242521817842608</v>
      </c>
      <c r="E17" s="15">
        <f t="shared" si="0"/>
        <v>46164184.213556014</v>
      </c>
      <c r="F17" s="5">
        <f t="shared" si="1"/>
        <v>330916493.28440022</v>
      </c>
      <c r="G17" s="5">
        <f t="shared" si="2"/>
        <v>16545824.664220013</v>
      </c>
      <c r="H17" s="5">
        <f t="shared" si="3"/>
        <v>16545824.664220013</v>
      </c>
      <c r="I17" s="5">
        <f t="shared" si="4"/>
        <v>297824843.95596021</v>
      </c>
      <c r="J17" s="5">
        <f t="shared" si="5"/>
        <v>99274947.975392565</v>
      </c>
      <c r="K17" s="5">
        <f t="shared" si="6"/>
        <v>198549895.98056763</v>
      </c>
    </row>
    <row r="18" spans="1:11" x14ac:dyDescent="0.2">
      <c r="A18" s="1" t="s">
        <v>18</v>
      </c>
      <c r="B18" s="2">
        <v>6.3895462068376437E-3</v>
      </c>
      <c r="C18" s="5">
        <f>SUM('Overall ED'!$B$7*ESSER!B18)</f>
        <v>445009529.89451796</v>
      </c>
      <c r="D18" s="13">
        <v>7.8546289723759363E-2</v>
      </c>
      <c r="E18" s="15">
        <f t="shared" si="0"/>
        <v>34953847.464928761</v>
      </c>
      <c r="F18" s="5">
        <f t="shared" si="1"/>
        <v>410055682.42958921</v>
      </c>
      <c r="G18" s="5">
        <f t="shared" si="2"/>
        <v>20502784.121479463</v>
      </c>
      <c r="H18" s="5">
        <f t="shared" si="3"/>
        <v>20502784.121479463</v>
      </c>
      <c r="I18" s="5">
        <f t="shared" si="4"/>
        <v>369050114.18663031</v>
      </c>
      <c r="J18" s="5">
        <f t="shared" si="5"/>
        <v>123016704.71657509</v>
      </c>
      <c r="K18" s="5">
        <f t="shared" si="6"/>
        <v>246033409.47005519</v>
      </c>
    </row>
    <row r="19" spans="1:11" x14ac:dyDescent="0.2">
      <c r="A19" s="1" t="s">
        <v>19</v>
      </c>
      <c r="B19" s="2">
        <v>1.4603003265865489E-2</v>
      </c>
      <c r="C19" s="5">
        <f>SUM('Overall ED'!$B$7*ESSER!B19)</f>
        <v>1017048066.9561008</v>
      </c>
      <c r="D19" s="13">
        <v>9.2627344427293673E-2</v>
      </c>
      <c r="E19" s="15">
        <f t="shared" si="0"/>
        <v>94206461.597055987</v>
      </c>
      <c r="F19" s="5">
        <f t="shared" si="1"/>
        <v>922841605.35904479</v>
      </c>
      <c r="G19" s="5">
        <f t="shared" si="2"/>
        <v>46142080.267952241</v>
      </c>
      <c r="H19" s="5">
        <f t="shared" si="3"/>
        <v>46142080.267952241</v>
      </c>
      <c r="I19" s="5">
        <f t="shared" si="4"/>
        <v>830557444.82314026</v>
      </c>
      <c r="J19" s="5">
        <f t="shared" si="5"/>
        <v>276852481.58002818</v>
      </c>
      <c r="K19" s="5">
        <f t="shared" si="6"/>
        <v>553704963.24311209</v>
      </c>
    </row>
    <row r="20" spans="1:11" x14ac:dyDescent="0.2">
      <c r="A20" s="1" t="s">
        <v>20</v>
      </c>
      <c r="B20" s="2">
        <v>2.169281513372058E-2</v>
      </c>
      <c r="C20" s="5">
        <f>SUM('Overall ED'!$B$7*ESSER!B20)</f>
        <v>1510828649.2106705</v>
      </c>
      <c r="D20" s="13">
        <v>0.18814577682991987</v>
      </c>
      <c r="E20" s="15">
        <f t="shared" si="0"/>
        <v>284256029.86264008</v>
      </c>
      <c r="F20" s="5">
        <f t="shared" si="1"/>
        <v>1226572619.3480303</v>
      </c>
      <c r="G20" s="5">
        <f t="shared" si="2"/>
        <v>61328630.967401519</v>
      </c>
      <c r="H20" s="5">
        <f t="shared" si="3"/>
        <v>61328630.967401519</v>
      </c>
      <c r="I20" s="5">
        <f t="shared" si="4"/>
        <v>1103915357.4132273</v>
      </c>
      <c r="J20" s="5">
        <f t="shared" si="5"/>
        <v>367971785.76761192</v>
      </c>
      <c r="K20" s="5">
        <f t="shared" si="6"/>
        <v>735943571.64561534</v>
      </c>
    </row>
    <row r="21" spans="1:11" x14ac:dyDescent="0.2">
      <c r="A21" s="1" t="s">
        <v>21</v>
      </c>
      <c r="B21" s="2">
        <v>3.3103124020873419E-3</v>
      </c>
      <c r="C21" s="5">
        <f>SUM('Overall ED'!$B$7*ESSER!B21)</f>
        <v>230551672.71197605</v>
      </c>
      <c r="D21" s="13">
        <v>9.2901060370705196E-2</v>
      </c>
      <c r="E21" s="15">
        <f t="shared" si="0"/>
        <v>21418494.865182351</v>
      </c>
      <c r="F21" s="5">
        <f t="shared" si="1"/>
        <v>209133177.84679371</v>
      </c>
      <c r="G21" s="5">
        <f t="shared" si="2"/>
        <v>10456658.892339686</v>
      </c>
      <c r="H21" s="5">
        <f t="shared" si="3"/>
        <v>10456658.892339686</v>
      </c>
      <c r="I21" s="5">
        <f t="shared" si="4"/>
        <v>188219860.06211433</v>
      </c>
      <c r="J21" s="5">
        <f t="shared" si="5"/>
        <v>62739953.347764112</v>
      </c>
      <c r="K21" s="5">
        <f t="shared" si="6"/>
        <v>125479906.71435021</v>
      </c>
    </row>
    <row r="22" spans="1:11" x14ac:dyDescent="0.2">
      <c r="A22" s="1" t="s">
        <v>22</v>
      </c>
      <c r="B22" s="2">
        <v>1.5710169839367492E-2</v>
      </c>
      <c r="C22" s="5">
        <f>SUM('Overall ED'!$B$7*ESSER!B22)</f>
        <v>1094158343.7175081</v>
      </c>
      <c r="D22" s="13">
        <v>0.1395281497039319</v>
      </c>
      <c r="E22" s="15">
        <f t="shared" si="0"/>
        <v>152665889.18202263</v>
      </c>
      <c r="F22" s="5">
        <f t="shared" si="1"/>
        <v>941492454.53548551</v>
      </c>
      <c r="G22" s="5">
        <f t="shared" si="2"/>
        <v>47074622.726774275</v>
      </c>
      <c r="H22" s="5">
        <f t="shared" si="3"/>
        <v>47074622.726774275</v>
      </c>
      <c r="I22" s="5">
        <f t="shared" si="4"/>
        <v>847343209.08193696</v>
      </c>
      <c r="J22" s="5">
        <f t="shared" si="5"/>
        <v>282447736.33240086</v>
      </c>
      <c r="K22" s="5">
        <f t="shared" si="6"/>
        <v>564895472.74953604</v>
      </c>
    </row>
    <row r="23" spans="1:11" x14ac:dyDescent="0.2">
      <c r="A23" s="1" t="s">
        <v>23</v>
      </c>
      <c r="B23" s="2">
        <v>1.6243835163933899E-2</v>
      </c>
      <c r="C23" s="5">
        <f>SUM('Overall ED'!$B$7*ESSER!B23)</f>
        <v>1131326265.7449224</v>
      </c>
      <c r="D23" s="13">
        <v>0.11334037246057967</v>
      </c>
      <c r="E23" s="15">
        <f t="shared" si="0"/>
        <v>128224940.33396624</v>
      </c>
      <c r="F23" s="5">
        <f t="shared" si="1"/>
        <v>1003101325.4109561</v>
      </c>
      <c r="G23" s="5">
        <f t="shared" si="2"/>
        <v>50155066.270547807</v>
      </c>
      <c r="H23" s="5">
        <f t="shared" si="3"/>
        <v>50155066.270547807</v>
      </c>
      <c r="I23" s="5">
        <f t="shared" si="4"/>
        <v>902791192.86986053</v>
      </c>
      <c r="J23" s="5">
        <f t="shared" si="5"/>
        <v>300930397.59319377</v>
      </c>
      <c r="K23" s="5">
        <f t="shared" si="6"/>
        <v>601860795.27666664</v>
      </c>
    </row>
    <row r="24" spans="1:11" x14ac:dyDescent="0.2">
      <c r="A24" s="1" t="s">
        <v>24</v>
      </c>
      <c r="B24" s="2">
        <v>2.9464751065157436E-2</v>
      </c>
      <c r="C24" s="5">
        <f>SUM('Overall ED'!$B$7*ESSER!B24)</f>
        <v>2052116785.0594873</v>
      </c>
      <c r="D24" s="13">
        <v>0.10075739261198306</v>
      </c>
      <c r="E24" s="15">
        <f t="shared" si="0"/>
        <v>206765936.59787923</v>
      </c>
      <c r="F24" s="5">
        <f t="shared" si="1"/>
        <v>1845350848.4616082</v>
      </c>
      <c r="G24" s="5">
        <f t="shared" si="2"/>
        <v>92267542.423080415</v>
      </c>
      <c r="H24" s="5">
        <f t="shared" si="3"/>
        <v>92267542.423080415</v>
      </c>
      <c r="I24" s="5">
        <f t="shared" si="4"/>
        <v>1660815763.6154473</v>
      </c>
      <c r="J24" s="5">
        <f t="shared" si="5"/>
        <v>553605254.48312187</v>
      </c>
      <c r="K24" s="5">
        <f t="shared" si="6"/>
        <v>1107210509.1323254</v>
      </c>
    </row>
    <row r="25" spans="1:11" x14ac:dyDescent="0.2">
      <c r="A25" s="1" t="s">
        <v>25</v>
      </c>
      <c r="B25" s="2">
        <v>1.0592954332685905E-2</v>
      </c>
      <c r="C25" s="5">
        <f>SUM('Overall ED'!$B$7*ESSER!B25)</f>
        <v>737762193.93140888</v>
      </c>
      <c r="D25" s="13">
        <v>8.0456248523958149E-2</v>
      </c>
      <c r="E25" s="15">
        <f t="shared" si="0"/>
        <v>59357578.42652604</v>
      </c>
      <c r="F25" s="5">
        <f t="shared" si="1"/>
        <v>678404615.50488281</v>
      </c>
      <c r="G25" s="5">
        <f t="shared" si="2"/>
        <v>33920230.775244139</v>
      </c>
      <c r="H25" s="5">
        <f t="shared" si="3"/>
        <v>33920230.775244139</v>
      </c>
      <c r="I25" s="5">
        <f t="shared" si="4"/>
        <v>610564153.95439458</v>
      </c>
      <c r="J25" s="5">
        <f t="shared" si="5"/>
        <v>203521384.63111269</v>
      </c>
      <c r="K25" s="5">
        <f t="shared" si="6"/>
        <v>407042769.32328182</v>
      </c>
    </row>
    <row r="26" spans="1:11" x14ac:dyDescent="0.2">
      <c r="A26" s="1" t="s">
        <v>26</v>
      </c>
      <c r="B26" s="2">
        <v>1.2841454154860455E-2</v>
      </c>
      <c r="C26" s="5">
        <f>SUM('Overall ED'!$B$7*ESSER!B26)</f>
        <v>894362336.79648864</v>
      </c>
      <c r="D26" s="13">
        <v>8.2105580466483294E-2</v>
      </c>
      <c r="E26" s="15">
        <f t="shared" si="0"/>
        <v>73432138.810036138</v>
      </c>
      <c r="F26" s="5">
        <f t="shared" si="1"/>
        <v>820930197.98645246</v>
      </c>
      <c r="G26" s="5">
        <f t="shared" si="2"/>
        <v>41046509.899322629</v>
      </c>
      <c r="H26" s="5">
        <f t="shared" si="3"/>
        <v>41046509.899322629</v>
      </c>
      <c r="I26" s="5">
        <f t="shared" si="4"/>
        <v>738837178.1878072</v>
      </c>
      <c r="J26" s="5">
        <f t="shared" si="5"/>
        <v>246279059.37130782</v>
      </c>
      <c r="K26" s="5">
        <f t="shared" si="6"/>
        <v>492558118.81649935</v>
      </c>
    </row>
    <row r="27" spans="1:11" x14ac:dyDescent="0.2">
      <c r="A27" s="1" t="s">
        <v>27</v>
      </c>
      <c r="B27" s="2">
        <v>1.5756204142860546E-2</v>
      </c>
      <c r="C27" s="5">
        <f>SUM('Overall ED'!$B$7*ESSER!B27)</f>
        <v>1097364471.835737</v>
      </c>
      <c r="D27" s="13">
        <v>0.1199493740689539</v>
      </c>
      <c r="E27" s="15">
        <f t="shared" si="0"/>
        <v>131628181.52220483</v>
      </c>
      <c r="F27" s="5">
        <f t="shared" si="1"/>
        <v>965736290.31353211</v>
      </c>
      <c r="G27" s="5">
        <f t="shared" si="2"/>
        <v>48286814.51567661</v>
      </c>
      <c r="H27" s="5">
        <f t="shared" si="3"/>
        <v>48286814.51567661</v>
      </c>
      <c r="I27" s="5">
        <f t="shared" si="4"/>
        <v>869162661.28217888</v>
      </c>
      <c r="J27" s="5">
        <f t="shared" si="5"/>
        <v>289720887.0650875</v>
      </c>
      <c r="K27" s="5">
        <f t="shared" si="6"/>
        <v>579441774.21709132</v>
      </c>
    </row>
    <row r="28" spans="1:11" x14ac:dyDescent="0.2">
      <c r="A28" s="1" t="s">
        <v>28</v>
      </c>
      <c r="B28" s="2">
        <v>3.1214886087775852E-3</v>
      </c>
      <c r="C28" s="5">
        <f>SUM('Overall ED'!$B$7*ESSER!B28)</f>
        <v>217400756.39122808</v>
      </c>
      <c r="D28" s="13">
        <v>7.4454330643466293E-2</v>
      </c>
      <c r="E28" s="15">
        <f t="shared" si="0"/>
        <v>16186427.798492163</v>
      </c>
      <c r="F28" s="5">
        <f t="shared" si="1"/>
        <v>201214328.59273592</v>
      </c>
      <c r="G28" s="5">
        <f t="shared" si="2"/>
        <v>10060716.429636797</v>
      </c>
      <c r="H28" s="5">
        <f t="shared" si="3"/>
        <v>10060716.429636797</v>
      </c>
      <c r="I28" s="5">
        <f t="shared" si="4"/>
        <v>181092895.73346233</v>
      </c>
      <c r="J28" s="5">
        <f t="shared" si="5"/>
        <v>60364298.571784347</v>
      </c>
      <c r="K28" s="5">
        <f t="shared" si="6"/>
        <v>120728597.16167799</v>
      </c>
    </row>
    <row r="29" spans="1:11" x14ac:dyDescent="0.2">
      <c r="A29" s="1" t="s">
        <v>29</v>
      </c>
      <c r="B29" s="2">
        <v>4.9197744545898805E-3</v>
      </c>
      <c r="C29" s="5">
        <f>SUM('Overall ED'!$B$7*ESSER!B29)</f>
        <v>342645071.55159414</v>
      </c>
      <c r="D29" s="13">
        <v>0.13414654194545364</v>
      </c>
      <c r="E29" s="15">
        <f t="shared" si="0"/>
        <v>45964651.463298887</v>
      </c>
      <c r="F29" s="5">
        <f t="shared" si="1"/>
        <v>296680420.08829522</v>
      </c>
      <c r="G29" s="5">
        <f t="shared" si="2"/>
        <v>14834021.004414761</v>
      </c>
      <c r="H29" s="5">
        <f t="shared" si="3"/>
        <v>14834021.004414761</v>
      </c>
      <c r="I29" s="5">
        <f t="shared" si="4"/>
        <v>267012378.07946569</v>
      </c>
      <c r="J29" s="5">
        <f t="shared" si="5"/>
        <v>89004126.017588139</v>
      </c>
      <c r="K29" s="5">
        <f t="shared" si="6"/>
        <v>178008252.06187752</v>
      </c>
    </row>
    <row r="30" spans="1:11" x14ac:dyDescent="0.2">
      <c r="A30" s="1" t="s">
        <v>30</v>
      </c>
      <c r="B30" s="2">
        <v>8.8580128979198775E-3</v>
      </c>
      <c r="C30" s="5">
        <f>SUM('Overall ED'!$B$7*ESSER!B30)</f>
        <v>616929595.29497671</v>
      </c>
      <c r="D30" s="13">
        <v>4.8653235307882799E-2</v>
      </c>
      <c r="E30" s="15">
        <f t="shared" si="0"/>
        <v>30015620.768283408</v>
      </c>
      <c r="F30" s="5">
        <f t="shared" si="1"/>
        <v>586913974.52669334</v>
      </c>
      <c r="G30" s="5">
        <f t="shared" si="2"/>
        <v>29345698.726334669</v>
      </c>
      <c r="H30" s="5">
        <f t="shared" si="3"/>
        <v>29345698.726334669</v>
      </c>
      <c r="I30" s="5">
        <f t="shared" si="4"/>
        <v>528222577.07402402</v>
      </c>
      <c r="J30" s="5">
        <f t="shared" si="5"/>
        <v>176074192.34040058</v>
      </c>
      <c r="K30" s="5">
        <f t="shared" si="6"/>
        <v>352148384.73362345</v>
      </c>
    </row>
    <row r="31" spans="1:11" x14ac:dyDescent="0.2">
      <c r="A31" s="1" t="s">
        <v>31</v>
      </c>
      <c r="B31" s="2">
        <v>2.8452827878192779E-3</v>
      </c>
      <c r="C31" s="5">
        <f>SUM('Overall ED'!$B$7*ESSER!B31)</f>
        <v>198163987.68185535</v>
      </c>
      <c r="D31" s="13">
        <v>0.12192245673990999</v>
      </c>
      <c r="E31" s="15">
        <f t="shared" si="0"/>
        <v>24160640.215549067</v>
      </c>
      <c r="F31" s="5">
        <f t="shared" si="1"/>
        <v>174003347.46630627</v>
      </c>
      <c r="G31" s="5">
        <f t="shared" si="2"/>
        <v>8700167.3733153138</v>
      </c>
      <c r="H31" s="5">
        <f t="shared" si="3"/>
        <v>8700167.3733153138</v>
      </c>
      <c r="I31" s="5">
        <f t="shared" si="4"/>
        <v>156603012.71967563</v>
      </c>
      <c r="J31" s="5">
        <f t="shared" si="5"/>
        <v>52201004.234671772</v>
      </c>
      <c r="K31" s="5">
        <f t="shared" si="6"/>
        <v>104402008.48500384</v>
      </c>
    </row>
    <row r="32" spans="1:11" x14ac:dyDescent="0.2">
      <c r="A32" s="1" t="s">
        <v>32</v>
      </c>
      <c r="B32" s="2">
        <v>2.3460940573796048E-2</v>
      </c>
      <c r="C32" s="5">
        <f>SUM('Overall ED'!$B$7*ESSER!B32)</f>
        <v>1633972397.6728864</v>
      </c>
      <c r="D32" s="13">
        <v>0.13142295231548415</v>
      </c>
      <c r="E32" s="15">
        <f t="shared" si="0"/>
        <v>214741476.50418106</v>
      </c>
      <c r="F32" s="5">
        <f t="shared" si="1"/>
        <v>1419230921.1687052</v>
      </c>
      <c r="G32" s="5">
        <f t="shared" si="2"/>
        <v>70961546.058435261</v>
      </c>
      <c r="H32" s="5">
        <f t="shared" si="3"/>
        <v>70961546.058435261</v>
      </c>
      <c r="I32" s="5">
        <f t="shared" si="4"/>
        <v>1277307829.0518346</v>
      </c>
      <c r="J32" s="5">
        <f t="shared" si="5"/>
        <v>425769276.3080346</v>
      </c>
      <c r="K32" s="5">
        <f t="shared" si="6"/>
        <v>851538552.74379992</v>
      </c>
    </row>
    <row r="33" spans="1:11" x14ac:dyDescent="0.2">
      <c r="A33" s="1" t="s">
        <v>33</v>
      </c>
      <c r="B33" s="2">
        <v>8.207183089914671E-3</v>
      </c>
      <c r="C33" s="5">
        <f>SUM('Overall ED'!$B$7*ESSER!B33)</f>
        <v>571601577.07174218</v>
      </c>
      <c r="D33" s="13">
        <v>6.2108157038924465E-2</v>
      </c>
      <c r="E33" s="15">
        <f t="shared" si="0"/>
        <v>35501120.512468651</v>
      </c>
      <c r="F33" s="5">
        <f t="shared" si="1"/>
        <v>536100456.55927354</v>
      </c>
      <c r="G33" s="5">
        <f t="shared" si="2"/>
        <v>26805022.82796368</v>
      </c>
      <c r="H33" s="5">
        <f t="shared" si="3"/>
        <v>26805022.82796368</v>
      </c>
      <c r="I33" s="5">
        <f t="shared" si="4"/>
        <v>482490410.90334618</v>
      </c>
      <c r="J33" s="5">
        <f t="shared" si="5"/>
        <v>160830136.95169905</v>
      </c>
      <c r="K33" s="5">
        <f t="shared" si="6"/>
        <v>321660273.9516471</v>
      </c>
    </row>
    <row r="34" spans="1:11" x14ac:dyDescent="0.2">
      <c r="A34" s="1" t="s">
        <v>34</v>
      </c>
      <c r="B34" s="2">
        <v>7.8390296059531656E-2</v>
      </c>
      <c r="C34" s="5">
        <f>SUM('Overall ED'!$B$7*ESSER!B34)</f>
        <v>5459609754.5101719</v>
      </c>
      <c r="D34" s="13">
        <v>0.1610810429522635</v>
      </c>
      <c r="E34" s="15">
        <f t="shared" si="0"/>
        <v>879439633.36884975</v>
      </c>
      <c r="F34" s="5">
        <f t="shared" si="1"/>
        <v>4580170121.1413221</v>
      </c>
      <c r="G34" s="5">
        <f t="shared" si="2"/>
        <v>229008506.05706611</v>
      </c>
      <c r="H34" s="5">
        <f t="shared" si="3"/>
        <v>229008506.05706611</v>
      </c>
      <c r="I34" s="5">
        <f t="shared" si="4"/>
        <v>4122153109.0271897</v>
      </c>
      <c r="J34" s="5">
        <f t="shared" si="5"/>
        <v>1374051036.2049913</v>
      </c>
      <c r="K34" s="5">
        <f t="shared" si="6"/>
        <v>2748102072.8221979</v>
      </c>
    </row>
    <row r="35" spans="1:11" x14ac:dyDescent="0.2">
      <c r="A35" s="1" t="s">
        <v>35</v>
      </c>
      <c r="B35" s="2">
        <v>2.9957219845546976E-2</v>
      </c>
      <c r="C35" s="5">
        <f>SUM('Overall ED'!$B$7*ESSER!B35)</f>
        <v>2086415511.9728875</v>
      </c>
      <c r="D35" s="13">
        <v>7.4315563427371709E-2</v>
      </c>
      <c r="E35" s="15">
        <f t="shared" si="0"/>
        <v>155053144.31587332</v>
      </c>
      <c r="F35" s="5">
        <f t="shared" si="1"/>
        <v>1931362367.6570141</v>
      </c>
      <c r="G35" s="5">
        <f t="shared" si="2"/>
        <v>96568118.382850707</v>
      </c>
      <c r="H35" s="5">
        <f t="shared" si="3"/>
        <v>96568118.382850707</v>
      </c>
      <c r="I35" s="5">
        <f t="shared" si="4"/>
        <v>1738226130.8913126</v>
      </c>
      <c r="J35" s="5">
        <f t="shared" si="5"/>
        <v>579408710.23916328</v>
      </c>
      <c r="K35" s="5">
        <f t="shared" si="6"/>
        <v>1158817420.6521492</v>
      </c>
    </row>
    <row r="36" spans="1:11" x14ac:dyDescent="0.2">
      <c r="A36" s="1" t="s">
        <v>36</v>
      </c>
      <c r="B36" s="2">
        <v>2.5169954642226913E-3</v>
      </c>
      <c r="C36" s="5">
        <f>SUM('Overall ED'!$B$7*ESSER!B36)</f>
        <v>175299924.59898567</v>
      </c>
      <c r="D36" s="13">
        <v>6.7225303501210573E-2</v>
      </c>
      <c r="E36" s="15">
        <f t="shared" si="0"/>
        <v>11784590.634906141</v>
      </c>
      <c r="F36" s="5">
        <f t="shared" si="1"/>
        <v>163515333.96407953</v>
      </c>
      <c r="G36" s="5">
        <f t="shared" si="2"/>
        <v>8175766.6982039772</v>
      </c>
      <c r="H36" s="5">
        <f t="shared" si="3"/>
        <v>8175766.6982039772</v>
      </c>
      <c r="I36" s="5">
        <f t="shared" si="4"/>
        <v>147163800.56767157</v>
      </c>
      <c r="J36" s="5">
        <f t="shared" si="5"/>
        <v>49054600.184318393</v>
      </c>
      <c r="K36" s="5">
        <f t="shared" si="6"/>
        <v>98109200.383353174</v>
      </c>
    </row>
    <row r="37" spans="1:11" x14ac:dyDescent="0.2">
      <c r="A37" s="1" t="s">
        <v>37</v>
      </c>
      <c r="B37" s="2">
        <v>3.6979000723018247E-2</v>
      </c>
      <c r="C37" s="5">
        <f>SUM('Overall ED'!$B$7*ESSER!B37)</f>
        <v>2575457973.8556905</v>
      </c>
      <c r="D37" s="13">
        <v>0.1296421645054569</v>
      </c>
      <c r="E37" s="15">
        <f t="shared" si="0"/>
        <v>333887946.32349014</v>
      </c>
      <c r="F37" s="5">
        <f t="shared" si="1"/>
        <v>2241570027.5322003</v>
      </c>
      <c r="G37" s="5">
        <f t="shared" si="2"/>
        <v>112078501.37661003</v>
      </c>
      <c r="H37" s="5">
        <f t="shared" si="3"/>
        <v>112078501.37661003</v>
      </c>
      <c r="I37" s="5">
        <f t="shared" si="4"/>
        <v>2017413024.7789803</v>
      </c>
      <c r="J37" s="5">
        <f t="shared" si="5"/>
        <v>672471008.19241297</v>
      </c>
      <c r="K37" s="5">
        <f t="shared" si="6"/>
        <v>1344942016.5865672</v>
      </c>
    </row>
    <row r="38" spans="1:11" x14ac:dyDescent="0.2">
      <c r="A38" s="1" t="s">
        <v>38</v>
      </c>
      <c r="B38" s="2">
        <v>1.2166208780306388E-2</v>
      </c>
      <c r="C38" s="5">
        <f>SUM('Overall ED'!$B$7*ESSER!B38)</f>
        <v>847333859.81760883</v>
      </c>
      <c r="D38" s="13">
        <v>4.4356295807943862E-2</v>
      </c>
      <c r="E38" s="15">
        <f t="shared" si="0"/>
        <v>37584591.334156692</v>
      </c>
      <c r="F38" s="5">
        <f t="shared" si="1"/>
        <v>809749268.48345208</v>
      </c>
      <c r="G38" s="5">
        <f t="shared" si="2"/>
        <v>40487463.42417261</v>
      </c>
      <c r="H38" s="5">
        <f t="shared" si="3"/>
        <v>40487463.42417261</v>
      </c>
      <c r="I38" s="5">
        <f t="shared" si="4"/>
        <v>728774341.6351068</v>
      </c>
      <c r="J38" s="5">
        <f t="shared" si="5"/>
        <v>242924780.5207431</v>
      </c>
      <c r="K38" s="5">
        <f t="shared" si="6"/>
        <v>485849561.11436367</v>
      </c>
    </row>
    <row r="39" spans="1:11" x14ac:dyDescent="0.2">
      <c r="A39" s="1" t="s">
        <v>39</v>
      </c>
      <c r="B39" s="2">
        <v>9.1538721161001767E-3</v>
      </c>
      <c r="C39" s="5">
        <f>SUM('Overall ED'!$B$7*ESSER!B39)</f>
        <v>637535154.3339709</v>
      </c>
      <c r="D39" s="13">
        <v>8.6033611805414814E-2</v>
      </c>
      <c r="E39" s="15">
        <f t="shared" si="0"/>
        <v>54849451.980274074</v>
      </c>
      <c r="F39" s="5">
        <f t="shared" si="1"/>
        <v>582685702.35369682</v>
      </c>
      <c r="G39" s="5">
        <f t="shared" si="2"/>
        <v>29134285.117684841</v>
      </c>
      <c r="H39" s="5">
        <f t="shared" si="3"/>
        <v>29134285.117684841</v>
      </c>
      <c r="I39" s="5">
        <f t="shared" si="4"/>
        <v>524417132.11832714</v>
      </c>
      <c r="J39" s="5">
        <f t="shared" si="5"/>
        <v>174805710.68862846</v>
      </c>
      <c r="K39" s="5">
        <f t="shared" si="6"/>
        <v>349611421.42969865</v>
      </c>
    </row>
    <row r="40" spans="1:11" x14ac:dyDescent="0.2">
      <c r="A40" s="1" t="s">
        <v>40</v>
      </c>
      <c r="B40" s="2">
        <v>3.959456553330816E-2</v>
      </c>
      <c r="C40" s="5">
        <f>SUM('Overall ED'!$B$7*ESSER!B40)</f>
        <v>2757622908.4155469</v>
      </c>
      <c r="D40" s="13">
        <v>0.15533305397679767</v>
      </c>
      <c r="E40" s="15">
        <f t="shared" si="0"/>
        <v>428349988.08056593</v>
      </c>
      <c r="F40" s="5">
        <f t="shared" si="1"/>
        <v>2329272920.334981</v>
      </c>
      <c r="G40" s="5">
        <f t="shared" si="2"/>
        <v>116463646.01674905</v>
      </c>
      <c r="H40" s="5">
        <f t="shared" si="3"/>
        <v>116463646.01674905</v>
      </c>
      <c r="I40" s="5">
        <f t="shared" si="4"/>
        <v>2096345628.3014829</v>
      </c>
      <c r="J40" s="5">
        <f t="shared" si="5"/>
        <v>698781876.03061604</v>
      </c>
      <c r="K40" s="5">
        <f t="shared" si="6"/>
        <v>1397563752.2708666</v>
      </c>
    </row>
    <row r="41" spans="1:11" x14ac:dyDescent="0.2">
      <c r="A41" s="1" t="s">
        <v>41</v>
      </c>
      <c r="B41" s="2">
        <v>3.5035960047667047E-3</v>
      </c>
      <c r="C41" s="5">
        <f>SUM('Overall ED'!$B$7*ESSER!B41)</f>
        <v>244013199.14598429</v>
      </c>
      <c r="D41" s="13">
        <v>0.12678775655766936</v>
      </c>
      <c r="E41" s="15">
        <f t="shared" si="0"/>
        <v>30937886.090179149</v>
      </c>
      <c r="F41" s="5">
        <f t="shared" si="1"/>
        <v>213075313.05580515</v>
      </c>
      <c r="G41" s="5">
        <f t="shared" si="2"/>
        <v>10653765.652790258</v>
      </c>
      <c r="H41" s="5">
        <f t="shared" si="3"/>
        <v>10653765.652790258</v>
      </c>
      <c r="I41" s="5">
        <f t="shared" si="4"/>
        <v>191767781.75022462</v>
      </c>
      <c r="J41" s="5">
        <f t="shared" si="5"/>
        <v>63922593.91034928</v>
      </c>
      <c r="K41" s="5">
        <f t="shared" si="6"/>
        <v>127845187.83987533</v>
      </c>
    </row>
    <row r="42" spans="1:11" x14ac:dyDescent="0.2">
      <c r="A42" s="1" t="s">
        <v>42</v>
      </c>
      <c r="B42" s="2">
        <v>1.6350946178793759E-2</v>
      </c>
      <c r="C42" s="5">
        <f>SUM('Overall ED'!$B$7*ESSER!B42)</f>
        <v>1138786173.0413597</v>
      </c>
      <c r="D42" s="13">
        <v>7.6031961740784623E-2</v>
      </c>
      <c r="E42" s="15">
        <f t="shared" si="0"/>
        <v>86584146.739615202</v>
      </c>
      <c r="F42" s="5">
        <f t="shared" si="1"/>
        <v>1052202026.3017445</v>
      </c>
      <c r="G42" s="5">
        <f t="shared" si="2"/>
        <v>52610101.315087229</v>
      </c>
      <c r="H42" s="5">
        <f t="shared" si="3"/>
        <v>52610101.315087229</v>
      </c>
      <c r="I42" s="5">
        <f t="shared" si="4"/>
        <v>946981823.67157006</v>
      </c>
      <c r="J42" s="5">
        <f t="shared" si="5"/>
        <v>315660607.85895729</v>
      </c>
      <c r="K42" s="5">
        <f t="shared" si="6"/>
        <v>631321215.81261277</v>
      </c>
    </row>
    <row r="43" spans="1:11" x14ac:dyDescent="0.2">
      <c r="A43" s="1" t="s">
        <v>43</v>
      </c>
      <c r="B43" s="2">
        <v>3.1214886087775852E-3</v>
      </c>
      <c r="C43" s="5">
        <f>SUM('Overall ED'!$B$7*ESSER!B43)</f>
        <v>217400756.39122808</v>
      </c>
      <c r="D43" s="13">
        <v>7.4072541433034697E-2</v>
      </c>
      <c r="E43" s="15">
        <f t="shared" si="0"/>
        <v>16103426.535362324</v>
      </c>
      <c r="F43" s="5">
        <f t="shared" si="1"/>
        <v>201297329.85586575</v>
      </c>
      <c r="G43" s="5">
        <f t="shared" si="2"/>
        <v>10064866.492793288</v>
      </c>
      <c r="H43" s="5">
        <f t="shared" si="3"/>
        <v>10064866.492793288</v>
      </c>
      <c r="I43" s="5">
        <f t="shared" si="4"/>
        <v>181167596.87027916</v>
      </c>
      <c r="J43" s="5">
        <f t="shared" si="5"/>
        <v>60389198.950720794</v>
      </c>
      <c r="K43" s="5">
        <f t="shared" si="6"/>
        <v>120778397.91955836</v>
      </c>
    </row>
    <row r="44" spans="1:11" x14ac:dyDescent="0.2">
      <c r="A44" s="1" t="s">
        <v>44</v>
      </c>
      <c r="B44" s="2">
        <v>1.9645157913156928E-2</v>
      </c>
      <c r="C44" s="5">
        <f>SUM('Overall ED'!$B$7*ESSER!B44)</f>
        <v>1368216490.5986841</v>
      </c>
      <c r="D44" s="13">
        <v>8.4112021295572117E-2</v>
      </c>
      <c r="E44" s="15">
        <f t="shared" si="0"/>
        <v>115083454.59418947</v>
      </c>
      <c r="F44" s="5">
        <f t="shared" si="1"/>
        <v>1253133036.0044947</v>
      </c>
      <c r="G44" s="5">
        <f t="shared" si="2"/>
        <v>62656651.800224736</v>
      </c>
      <c r="H44" s="5">
        <f t="shared" si="3"/>
        <v>62656651.800224736</v>
      </c>
      <c r="I44" s="5">
        <f t="shared" si="4"/>
        <v>1127819732.4040451</v>
      </c>
      <c r="J44" s="5">
        <f t="shared" si="5"/>
        <v>375939910.76375437</v>
      </c>
      <c r="K44" s="5">
        <f t="shared" si="6"/>
        <v>751879821.64029074</v>
      </c>
    </row>
    <row r="45" spans="1:11" x14ac:dyDescent="0.2">
      <c r="A45" s="1" t="s">
        <v>45</v>
      </c>
      <c r="B45" s="2">
        <v>9.720010900076459E-2</v>
      </c>
      <c r="C45" s="5">
        <f>SUM('Overall ED'!$B$7*ESSER!B45)</f>
        <v>6769647391.5217514</v>
      </c>
      <c r="D45" s="13">
        <v>6.2141468563868152E-2</v>
      </c>
      <c r="E45" s="15">
        <f t="shared" si="0"/>
        <v>420675830.56872094</v>
      </c>
      <c r="F45" s="5">
        <f t="shared" si="1"/>
        <v>6348971560.9530306</v>
      </c>
      <c r="G45" s="5">
        <f t="shared" si="2"/>
        <v>317448578.04765153</v>
      </c>
      <c r="H45" s="5">
        <f t="shared" si="3"/>
        <v>317448578.04765153</v>
      </c>
      <c r="I45" s="5">
        <f t="shared" si="4"/>
        <v>5714074404.8577271</v>
      </c>
      <c r="J45" s="5">
        <f t="shared" si="5"/>
        <v>1904691468.0954397</v>
      </c>
      <c r="K45" s="5">
        <f t="shared" si="6"/>
        <v>3809382936.7622871</v>
      </c>
    </row>
    <row r="46" spans="1:11" x14ac:dyDescent="0.2">
      <c r="A46" s="1" t="s">
        <v>46</v>
      </c>
      <c r="B46" s="2">
        <v>5.1266642553460078E-3</v>
      </c>
      <c r="C46" s="5">
        <f>SUM('Overall ED'!$B$7*ESSER!B46)</f>
        <v>357054222.05995572</v>
      </c>
      <c r="D46" s="13">
        <v>3.1598929761886968E-2</v>
      </c>
      <c r="E46" s="15">
        <f t="shared" si="0"/>
        <v>11282531.284057733</v>
      </c>
      <c r="F46" s="5">
        <f t="shared" si="1"/>
        <v>345771690.77589798</v>
      </c>
      <c r="G46" s="5">
        <f t="shared" si="2"/>
        <v>17288584.538794901</v>
      </c>
      <c r="H46" s="5">
        <f t="shared" si="3"/>
        <v>17288584.538794901</v>
      </c>
      <c r="I46" s="5">
        <f t="shared" si="4"/>
        <v>311194521.69830817</v>
      </c>
      <c r="J46" s="5">
        <f t="shared" si="5"/>
        <v>103731507.22239624</v>
      </c>
      <c r="K46" s="5">
        <f t="shared" si="6"/>
        <v>207463014.47591192</v>
      </c>
    </row>
    <row r="47" spans="1:11" x14ac:dyDescent="0.2">
      <c r="A47" s="1" t="s">
        <v>47</v>
      </c>
      <c r="B47" s="2">
        <v>2.3544769871946779E-3</v>
      </c>
      <c r="C47" s="5">
        <f>SUM('Overall ED'!$B$7*ESSER!B47)</f>
        <v>163981081.48865414</v>
      </c>
      <c r="D47" s="13">
        <v>0.10254734132739567</v>
      </c>
      <c r="E47" s="15">
        <f t="shared" si="0"/>
        <v>16815823.9346525</v>
      </c>
      <c r="F47" s="5">
        <f t="shared" si="1"/>
        <v>147165257.55400163</v>
      </c>
      <c r="G47" s="5">
        <f t="shared" si="2"/>
        <v>7358262.877700082</v>
      </c>
      <c r="H47" s="5">
        <f t="shared" si="3"/>
        <v>7358262.877700082</v>
      </c>
      <c r="I47" s="5">
        <f t="shared" si="4"/>
        <v>132448731.79860146</v>
      </c>
      <c r="J47" s="5">
        <f t="shared" si="5"/>
        <v>44149577.26178553</v>
      </c>
      <c r="K47" s="5">
        <f t="shared" si="6"/>
        <v>88299154.536815926</v>
      </c>
    </row>
    <row r="48" spans="1:11" x14ac:dyDescent="0.2">
      <c r="A48" s="1" t="s">
        <v>48</v>
      </c>
      <c r="B48" s="2">
        <v>1.8035695860654389E-2</v>
      </c>
      <c r="C48" s="5">
        <f>SUM('Overall ED'!$B$7*ESSER!B48)</f>
        <v>1256123091.7590659</v>
      </c>
      <c r="D48" s="13">
        <v>9.8564546258971583E-2</v>
      </c>
      <c r="E48" s="15">
        <f t="shared" si="0"/>
        <v>123809202.58464885</v>
      </c>
      <c r="F48" s="5">
        <f t="shared" si="1"/>
        <v>1132313889.174417</v>
      </c>
      <c r="G48" s="5">
        <f t="shared" si="2"/>
        <v>56615694.458720855</v>
      </c>
      <c r="H48" s="5">
        <f t="shared" si="3"/>
        <v>56615694.458720855</v>
      </c>
      <c r="I48" s="5">
        <f t="shared" si="4"/>
        <v>1019082500.2569753</v>
      </c>
      <c r="J48" s="5">
        <f t="shared" si="5"/>
        <v>339694166.71835566</v>
      </c>
      <c r="K48" s="5">
        <f t="shared" si="6"/>
        <v>679388333.53861952</v>
      </c>
    </row>
    <row r="49" spans="1:11" x14ac:dyDescent="0.2">
      <c r="A49" s="1" t="s">
        <v>49</v>
      </c>
      <c r="B49" s="2">
        <v>1.6394863962585979E-2</v>
      </c>
      <c r="C49" s="5">
        <f>SUM('Overall ED'!$B$7*ESSER!B49)</f>
        <v>1141844892.9702444</v>
      </c>
      <c r="D49" s="13">
        <v>8.435186199112174E-2</v>
      </c>
      <c r="E49" s="15">
        <f t="shared" si="0"/>
        <v>96316742.827093229</v>
      </c>
      <c r="F49" s="5">
        <f t="shared" si="1"/>
        <v>1045528150.1431512</v>
      </c>
      <c r="G49" s="5">
        <f t="shared" si="2"/>
        <v>52276407.507157564</v>
      </c>
      <c r="H49" s="5">
        <f t="shared" si="3"/>
        <v>52276407.507157564</v>
      </c>
      <c r="I49" s="5">
        <f t="shared" si="4"/>
        <v>940975335.12883604</v>
      </c>
      <c r="J49" s="5">
        <f t="shared" si="5"/>
        <v>313658445.01157945</v>
      </c>
      <c r="K49" s="5">
        <f t="shared" si="6"/>
        <v>627316890.11725652</v>
      </c>
    </row>
    <row r="50" spans="1:11" x14ac:dyDescent="0.2">
      <c r="A50" s="1" t="s">
        <v>50</v>
      </c>
      <c r="B50" s="2">
        <v>6.549116674282358E-3</v>
      </c>
      <c r="C50" s="5">
        <f>SUM('Overall ED'!$B$7*ESSER!B50)</f>
        <v>456123054.45540625</v>
      </c>
      <c r="D50" s="13">
        <v>5.0576254482739738E-2</v>
      </c>
      <c r="E50" s="15">
        <f t="shared" si="0"/>
        <v>23068995.677581184</v>
      </c>
      <c r="F50" s="5">
        <f t="shared" si="1"/>
        <v>433054058.77782506</v>
      </c>
      <c r="G50" s="5">
        <f t="shared" si="2"/>
        <v>21652702.938891254</v>
      </c>
      <c r="H50" s="5">
        <f t="shared" si="3"/>
        <v>21652702.938891254</v>
      </c>
      <c r="I50" s="5">
        <f t="shared" si="4"/>
        <v>389748652.90004253</v>
      </c>
      <c r="J50" s="5">
        <f t="shared" si="5"/>
        <v>129916217.62035587</v>
      </c>
      <c r="K50" s="5">
        <f t="shared" si="6"/>
        <v>259832435.27968663</v>
      </c>
    </row>
    <row r="51" spans="1:11" x14ac:dyDescent="0.2">
      <c r="A51" s="1" t="s">
        <v>51</v>
      </c>
      <c r="B51" s="2">
        <v>1.3211467152559117E-2</v>
      </c>
      <c r="C51" s="5">
        <f>SUM('Overall ED'!$B$7*ESSER!B51)</f>
        <v>920132447.04070854</v>
      </c>
      <c r="D51" s="13">
        <v>0.14233756992350419</v>
      </c>
      <c r="E51" s="15">
        <f t="shared" si="0"/>
        <v>130969416.51954186</v>
      </c>
      <c r="F51" s="5">
        <f t="shared" si="1"/>
        <v>789163030.52116668</v>
      </c>
      <c r="G51" s="5">
        <f t="shared" si="2"/>
        <v>39458151.526058339</v>
      </c>
      <c r="H51" s="5">
        <f t="shared" si="3"/>
        <v>39458151.526058339</v>
      </c>
      <c r="I51" s="5">
        <f t="shared" si="4"/>
        <v>710246727.46905005</v>
      </c>
      <c r="J51" s="5">
        <f t="shared" si="5"/>
        <v>236748909.13267511</v>
      </c>
      <c r="K51" s="5">
        <f t="shared" si="6"/>
        <v>473497818.33637488</v>
      </c>
    </row>
    <row r="52" spans="1:11" x14ac:dyDescent="0.2">
      <c r="A52" s="1" t="s">
        <v>52</v>
      </c>
      <c r="B52" s="2">
        <v>2.4614368220759052E-3</v>
      </c>
      <c r="C52" s="5">
        <f>SUM('Overall ED'!$B$7*ESSER!B52)</f>
        <v>171430459.62870952</v>
      </c>
      <c r="D52" s="13">
        <v>2.3103025052342793E-2</v>
      </c>
      <c r="E52" s="15">
        <f t="shared" si="0"/>
        <v>3960562.2035367158</v>
      </c>
      <c r="F52" s="5">
        <f t="shared" si="1"/>
        <v>167469897.42517281</v>
      </c>
      <c r="G52" s="5">
        <f t="shared" si="2"/>
        <v>8373494.8712586407</v>
      </c>
      <c r="H52" s="5">
        <f t="shared" si="3"/>
        <v>8373494.8712586407</v>
      </c>
      <c r="I52" s="5">
        <f t="shared" si="4"/>
        <v>150722907.68265551</v>
      </c>
      <c r="J52" s="5">
        <f t="shared" si="5"/>
        <v>50240969.222527735</v>
      </c>
      <c r="K52" s="5">
        <f t="shared" si="6"/>
        <v>100481938.46012777</v>
      </c>
    </row>
    <row r="53" spans="1:11" x14ac:dyDescent="0.2">
      <c r="A53" s="1"/>
      <c r="B53" s="2"/>
    </row>
    <row r="54" spans="1:11" x14ac:dyDescent="0.2">
      <c r="A54" s="1"/>
      <c r="B54" s="2"/>
    </row>
    <row r="55" spans="1:11" x14ac:dyDescent="0.2">
      <c r="A55" s="1" t="s">
        <v>53</v>
      </c>
      <c r="B55" s="2">
        <v>2.6389447939851533E-2</v>
      </c>
      <c r="C55" s="5">
        <f>SUM('Overall ED'!$B$7*ESSER!B55)</f>
        <v>1837932685.9428699</v>
      </c>
      <c r="D55" s="5"/>
      <c r="F55" s="5"/>
      <c r="G55" s="5">
        <f t="shared" ref="G55" si="7">SUM(C55*0.05)</f>
        <v>91896634.297143504</v>
      </c>
      <c r="H55" s="5">
        <f t="shared" ref="H55" si="8">SUM(C55*0.05)</f>
        <v>91896634.297143504</v>
      </c>
      <c r="I55" s="5">
        <f t="shared" ref="I55" si="9">SUM(C55-(G55+H55))</f>
        <v>1654139417.348583</v>
      </c>
      <c r="J55" s="5">
        <f>SUM(I55*0.3333333333)</f>
        <v>551379805.727723</v>
      </c>
      <c r="K55" s="5">
        <f>SUM(I55*0.6666666667)</f>
        <v>1102759611.6208599</v>
      </c>
    </row>
    <row r="57" spans="1:11" ht="17" customHeight="1" x14ac:dyDescent="0.2">
      <c r="A57" t="s">
        <v>54</v>
      </c>
      <c r="B57" s="10">
        <f>SUM(B2:B55)</f>
        <v>0.99999984882002124</v>
      </c>
      <c r="C57" s="5">
        <f>SUM(C2:C55)</f>
        <v>69646489470.843613</v>
      </c>
      <c r="D57" s="5"/>
      <c r="E57" s="5"/>
      <c r="F57" s="5"/>
      <c r="G57" s="5">
        <f t="shared" ref="G57:K57" si="10">SUM(G2:G55)</f>
        <v>3128188588.5284867</v>
      </c>
      <c r="H57" s="5">
        <f t="shared" si="10"/>
        <v>3128188588.5284867</v>
      </c>
      <c r="I57" s="5">
        <f t="shared" si="10"/>
        <v>56307394593.512756</v>
      </c>
      <c r="J57" s="5">
        <f t="shared" si="10"/>
        <v>18769131529.29401</v>
      </c>
      <c r="K57" s="5">
        <f t="shared" si="10"/>
        <v>37538263064.21875</v>
      </c>
    </row>
    <row r="58" spans="1:11" x14ac:dyDescent="0.2">
      <c r="E58" s="15">
        <f>SUM(E2:E52)</f>
        <v>7082717700.2738686</v>
      </c>
    </row>
    <row r="59" spans="1:11" x14ac:dyDescent="0.2">
      <c r="E59" s="8">
        <f>SUM(E58/217739)</f>
        <v>32528.475377740637</v>
      </c>
    </row>
  </sheetData>
  <hyperlinks>
    <hyperlink ref="A1" location="A162:U235" display="Reading First State Grants" xr:uid="{B035271B-C0AF-BD4A-A09C-BBE440AC3161}"/>
    <hyperlink ref="A4" location="A6:U79" display="High School Reform" xr:uid="{73F24D5E-E2D6-A145-B67F-E3D758C2415D}"/>
    <hyperlink ref="A5" location="A85:U158" display="21st Century Community Learning Centers" xr:uid="{4C564DB8-F358-BE44-BAD1-5F8424492136}"/>
    <hyperlink ref="A6" location="A162:U235" display="Reading First State Grants" xr:uid="{C9C4472A-DED7-1C4C-BD3C-D7F1C7412FC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CFDD4-CF35-C64F-9F1B-CA27632A7B56}">
  <dimension ref="A1:L57"/>
  <sheetViews>
    <sheetView workbookViewId="0">
      <selection activeCell="F3" sqref="F3"/>
    </sheetView>
  </sheetViews>
  <sheetFormatPr baseColWidth="10" defaultRowHeight="16" x14ac:dyDescent="0.2"/>
  <cols>
    <col min="1" max="1" width="23" customWidth="1"/>
    <col min="2" max="3" width="18" style="11" customWidth="1"/>
    <col min="4" max="4" width="18" customWidth="1"/>
    <col min="5" max="5" width="8" customWidth="1"/>
    <col min="6" max="6" width="26.5" customWidth="1"/>
    <col min="7" max="7" width="16.5" style="13" customWidth="1"/>
    <col min="8" max="8" width="13.83203125" style="11" customWidth="1"/>
    <col min="9" max="9" width="17.83203125" customWidth="1"/>
    <col min="10" max="10" width="4.33203125" customWidth="1"/>
    <col min="11" max="11" width="22.1640625" style="4" customWidth="1"/>
    <col min="12" max="12" width="26.1640625" style="4" customWidth="1"/>
  </cols>
  <sheetData>
    <row r="1" spans="1:12" ht="34" x14ac:dyDescent="0.2">
      <c r="A1" s="1" t="s">
        <v>0</v>
      </c>
      <c r="B1" s="7" t="s">
        <v>72</v>
      </c>
      <c r="C1" s="7" t="s">
        <v>71</v>
      </c>
      <c r="D1" s="7" t="s">
        <v>70</v>
      </c>
      <c r="E1" s="22"/>
      <c r="F1" s="7" t="s">
        <v>69</v>
      </c>
      <c r="G1" s="7" t="s">
        <v>71</v>
      </c>
      <c r="H1" s="11" t="s">
        <v>70</v>
      </c>
      <c r="I1" s="7" t="s">
        <v>84</v>
      </c>
      <c r="J1" s="22"/>
      <c r="K1" s="9" t="s">
        <v>85</v>
      </c>
      <c r="L1" s="9" t="s">
        <v>86</v>
      </c>
    </row>
    <row r="2" spans="1:12" x14ac:dyDescent="0.2">
      <c r="A2" s="1" t="s">
        <v>2</v>
      </c>
      <c r="B2" s="19">
        <v>1261818</v>
      </c>
      <c r="C2" s="20">
        <f>SUM(B2/$B$57)</f>
        <v>1.4819880069911065E-2</v>
      </c>
      <c r="D2" s="5">
        <f>SUM('Overall ED'!$B$6*0.6)*C2</f>
        <v>46215795.998017654</v>
      </c>
      <c r="E2" s="22"/>
      <c r="F2" s="16">
        <v>379554</v>
      </c>
      <c r="G2" s="13">
        <f>SUM(F2/$F$57)</f>
        <v>1.4534722974278082E-2</v>
      </c>
      <c r="H2" s="5">
        <f>SUM('Overall ED'!$B$6*0.4)*G2</f>
        <v>30217689.063524131</v>
      </c>
      <c r="I2" s="5">
        <f>SUM(H2+D2)</f>
        <v>76433485.061541781</v>
      </c>
      <c r="J2" s="22"/>
      <c r="K2" s="5">
        <f>SUM(I2*0.5)</f>
        <v>38216742.53077089</v>
      </c>
      <c r="L2" s="5">
        <f>SUM(I2*0.5)</f>
        <v>38216742.53077089</v>
      </c>
    </row>
    <row r="3" spans="1:12" x14ac:dyDescent="0.2">
      <c r="A3" s="1" t="s">
        <v>3</v>
      </c>
      <c r="B3" s="19">
        <v>199912</v>
      </c>
      <c r="C3" s="20">
        <f t="shared" ref="C3:C52" si="0">SUM(B3/$B$57)</f>
        <v>2.347939135862748E-3</v>
      </c>
      <c r="D3" s="5">
        <f>SUM('Overall ED'!$B$6*0.6)*C3</f>
        <v>7322048.1951879794</v>
      </c>
      <c r="E3" s="22"/>
      <c r="F3" s="12">
        <v>56625</v>
      </c>
      <c r="G3" s="13">
        <f t="shared" ref="G3:G52" si="1">SUM(F3/$F$57)</f>
        <v>2.1684099980990752E-3</v>
      </c>
      <c r="H3" s="5">
        <f>SUM('Overall ED'!$B$6*0.4)*G3</f>
        <v>4508124.386047977</v>
      </c>
      <c r="I3" s="5">
        <f t="shared" ref="I3:I52" si="2">SUM(H3+D3)</f>
        <v>11830172.581235956</v>
      </c>
      <c r="J3" s="22"/>
      <c r="K3" s="5">
        <f t="shared" ref="K3:K52" si="3">SUM(I3*0.5)</f>
        <v>5915086.2906179782</v>
      </c>
      <c r="L3" s="5">
        <f t="shared" ref="L3:L52" si="4">SUM(I3*0.5)</f>
        <v>5915086.2906179782</v>
      </c>
    </row>
    <row r="4" spans="1:12" x14ac:dyDescent="0.2">
      <c r="A4" s="1" t="s">
        <v>4</v>
      </c>
      <c r="B4" s="19">
        <v>1897310</v>
      </c>
      <c r="C4" s="20">
        <f t="shared" si="0"/>
        <v>2.2283646813916876E-2</v>
      </c>
      <c r="D4" s="5">
        <f>SUM('Overall ED'!$B$6*0.6)*C4</f>
        <v>69491552.589199781</v>
      </c>
      <c r="E4" s="22"/>
      <c r="F4" s="12">
        <v>566549</v>
      </c>
      <c r="G4" s="13">
        <f t="shared" si="1"/>
        <v>2.169554995166504E-2</v>
      </c>
      <c r="H4" s="5">
        <f>SUM('Overall ED'!$B$6*0.4)*G4</f>
        <v>45105048.349511616</v>
      </c>
      <c r="I4" s="5">
        <f t="shared" si="2"/>
        <v>114596600.9387114</v>
      </c>
      <c r="J4" s="22"/>
      <c r="K4" s="5">
        <f t="shared" si="3"/>
        <v>57298300.469355702</v>
      </c>
      <c r="L4" s="5">
        <f t="shared" si="4"/>
        <v>57298300.469355702</v>
      </c>
    </row>
    <row r="5" spans="1:12" x14ac:dyDescent="0.2">
      <c r="A5" s="1" t="s">
        <v>5</v>
      </c>
      <c r="B5" s="19">
        <v>803794</v>
      </c>
      <c r="C5" s="20">
        <f t="shared" si="0"/>
        <v>9.4404507471870704E-3</v>
      </c>
      <c r="D5" s="5">
        <f>SUM('Overall ED'!$B$6*0.6)*C5</f>
        <v>29440045.655102879</v>
      </c>
      <c r="E5" s="22"/>
      <c r="F5" s="12">
        <v>312477</v>
      </c>
      <c r="G5" s="13">
        <f t="shared" si="1"/>
        <v>1.1966061827390812E-2</v>
      </c>
      <c r="H5" s="5">
        <f>SUM('Overall ED'!$B$6*0.4)*G5</f>
        <v>24877442.539145499</v>
      </c>
      <c r="I5" s="5">
        <f t="shared" si="2"/>
        <v>54317488.194248378</v>
      </c>
      <c r="J5" s="22"/>
      <c r="K5" s="5">
        <f t="shared" si="3"/>
        <v>27158744.097124189</v>
      </c>
      <c r="L5" s="5">
        <f t="shared" si="4"/>
        <v>27158744.097124189</v>
      </c>
    </row>
    <row r="6" spans="1:12" x14ac:dyDescent="0.2">
      <c r="A6" s="1" t="s">
        <v>6</v>
      </c>
      <c r="B6" s="19">
        <v>10312908</v>
      </c>
      <c r="C6" s="20">
        <f t="shared" si="0"/>
        <v>0.12112369591496268</v>
      </c>
      <c r="D6" s="5">
        <f>SUM('Overall ED'!$B$6*0.6)*C6</f>
        <v>377724245.71081114</v>
      </c>
      <c r="E6" s="22"/>
      <c r="F6" s="12">
        <v>3657497</v>
      </c>
      <c r="G6" s="13">
        <f t="shared" si="1"/>
        <v>0.14006098124180791</v>
      </c>
      <c r="H6" s="5">
        <f>SUM('Overall ED'!$B$6*0.4)*G6</f>
        <v>291186780.00171864</v>
      </c>
      <c r="I6" s="5">
        <f t="shared" si="2"/>
        <v>668911025.71252978</v>
      </c>
      <c r="J6" s="22"/>
      <c r="K6" s="5">
        <f t="shared" si="3"/>
        <v>334455512.85626489</v>
      </c>
      <c r="L6" s="5">
        <f t="shared" si="4"/>
        <v>334455512.85626489</v>
      </c>
    </row>
    <row r="7" spans="1:12" x14ac:dyDescent="0.2">
      <c r="A7" s="1" t="s">
        <v>7</v>
      </c>
      <c r="B7" s="19">
        <v>1459635</v>
      </c>
      <c r="C7" s="20">
        <f t="shared" si="0"/>
        <v>1.7143213716910549E-2</v>
      </c>
      <c r="D7" s="5">
        <f>SUM('Overall ED'!$B$6*0.6)*C7</f>
        <v>53461111.976185545</v>
      </c>
      <c r="E7" s="22"/>
      <c r="F7" s="12">
        <v>376162</v>
      </c>
      <c r="G7" s="13">
        <f t="shared" si="1"/>
        <v>1.4404828992581798E-2</v>
      </c>
      <c r="H7" s="5">
        <f>SUM('Overall ED'!$B$6*0.4)*G7</f>
        <v>29947639.475577559</v>
      </c>
      <c r="I7" s="5">
        <f t="shared" si="2"/>
        <v>83408751.451763108</v>
      </c>
      <c r="J7" s="22"/>
      <c r="K7" s="5">
        <f t="shared" si="3"/>
        <v>41704375.725881554</v>
      </c>
      <c r="L7" s="5">
        <f t="shared" si="4"/>
        <v>41704375.725881554</v>
      </c>
    </row>
    <row r="8" spans="1:12" x14ac:dyDescent="0.2">
      <c r="A8" s="1" t="s">
        <v>8</v>
      </c>
      <c r="B8" s="19">
        <v>898045</v>
      </c>
      <c r="C8" s="20">
        <f t="shared" si="0"/>
        <v>1.0547415869311804E-2</v>
      </c>
      <c r="D8" s="5">
        <f>SUM('Overall ED'!$B$6*0.6)*C8</f>
        <v>32892116.38844886</v>
      </c>
      <c r="E8" s="22"/>
      <c r="F8" s="12">
        <v>203774</v>
      </c>
      <c r="G8" s="13">
        <f t="shared" si="1"/>
        <v>7.8033656327177207E-3</v>
      </c>
      <c r="H8" s="5">
        <f>SUM('Overall ED'!$B$6*0.4)*G8</f>
        <v>16223197.15042014</v>
      </c>
      <c r="I8" s="5">
        <f t="shared" si="2"/>
        <v>49115313.538869001</v>
      </c>
      <c r="J8" s="22"/>
      <c r="K8" s="5">
        <f t="shared" si="3"/>
        <v>24557656.7694345</v>
      </c>
      <c r="L8" s="5">
        <f t="shared" si="4"/>
        <v>24557656.7694345</v>
      </c>
    </row>
    <row r="9" spans="1:12" x14ac:dyDescent="0.2">
      <c r="A9" s="1" t="s">
        <v>9</v>
      </c>
      <c r="B9" s="19">
        <v>233136</v>
      </c>
      <c r="C9" s="20">
        <f t="shared" si="0"/>
        <v>2.7381504781028533E-3</v>
      </c>
      <c r="D9" s="5">
        <f>SUM('Overall ED'!$B$6*0.6)*C9</f>
        <v>8538922.2659637481</v>
      </c>
      <c r="E9" s="22"/>
      <c r="F9" s="12">
        <v>50459</v>
      </c>
      <c r="G9" s="13">
        <f t="shared" si="1"/>
        <v>1.9322878603811255E-3</v>
      </c>
      <c r="H9" s="5">
        <f>SUM('Overall ED'!$B$6*0.4)*G9</f>
        <v>4017226.4617323601</v>
      </c>
      <c r="I9" s="5">
        <f t="shared" si="2"/>
        <v>12556148.727696108</v>
      </c>
      <c r="J9" s="22"/>
      <c r="K9" s="5">
        <f t="shared" si="3"/>
        <v>6278074.3638480539</v>
      </c>
      <c r="L9" s="5">
        <f t="shared" si="4"/>
        <v>6278074.3638480539</v>
      </c>
    </row>
    <row r="10" spans="1:12" x14ac:dyDescent="0.2">
      <c r="A10" s="1" t="s">
        <v>10</v>
      </c>
      <c r="B10" s="19">
        <v>156789</v>
      </c>
      <c r="C10" s="20">
        <f t="shared" si="0"/>
        <v>1.8414653906358015E-3</v>
      </c>
      <c r="D10" s="5">
        <f>SUM('Overall ED'!$B$6*0.6)*C10</f>
        <v>5742609.8206977472</v>
      </c>
      <c r="E10" s="22"/>
      <c r="F10" s="12">
        <v>63402</v>
      </c>
      <c r="G10" s="13">
        <f t="shared" si="1"/>
        <v>2.4279299019775288E-3</v>
      </c>
      <c r="H10" s="5">
        <f>SUM('Overall ED'!$B$6*0.4)*G10</f>
        <v>5047666.2662112825</v>
      </c>
      <c r="I10" s="5">
        <f t="shared" si="2"/>
        <v>10790276.08690903</v>
      </c>
      <c r="J10" s="22"/>
      <c r="K10" s="5">
        <f t="shared" si="3"/>
        <v>5395138.0434545148</v>
      </c>
      <c r="L10" s="5">
        <f t="shared" si="4"/>
        <v>5395138.0434545148</v>
      </c>
    </row>
    <row r="11" spans="1:12" x14ac:dyDescent="0.2">
      <c r="A11" s="1" t="s">
        <v>11</v>
      </c>
      <c r="B11" s="19">
        <v>4861808</v>
      </c>
      <c r="C11" s="20">
        <f t="shared" si="0"/>
        <v>5.7101270930462376E-2</v>
      </c>
      <c r="D11" s="5">
        <f>SUM('Overall ED'!$B$6*0.6)*C11</f>
        <v>178070313.39664692</v>
      </c>
      <c r="E11" s="22"/>
      <c r="F11" s="12">
        <v>1640217</v>
      </c>
      <c r="G11" s="13">
        <f t="shared" si="1"/>
        <v>6.2810824580169025E-2</v>
      </c>
      <c r="H11" s="5">
        <f>SUM('Overall ED'!$B$6*0.4)*G11</f>
        <v>130583704.30217141</v>
      </c>
      <c r="I11" s="5">
        <f t="shared" si="2"/>
        <v>308654017.69881833</v>
      </c>
      <c r="J11" s="22"/>
      <c r="K11" s="5">
        <f t="shared" si="3"/>
        <v>154327008.84940916</v>
      </c>
      <c r="L11" s="5">
        <f t="shared" si="4"/>
        <v>154327008.84940916</v>
      </c>
    </row>
    <row r="12" spans="1:12" x14ac:dyDescent="0.2">
      <c r="A12" s="1" t="s">
        <v>12</v>
      </c>
      <c r="B12" s="19">
        <v>2895815</v>
      </c>
      <c r="C12" s="20">
        <f t="shared" si="0"/>
        <v>3.401095166232334E-2</v>
      </c>
      <c r="D12" s="5">
        <f>SUM('Overall ED'!$B$6*0.6)*C12</f>
        <v>106063152.75895533</v>
      </c>
      <c r="E12" s="22"/>
      <c r="F12" s="12">
        <v>1096426</v>
      </c>
      <c r="G12" s="13">
        <f t="shared" si="1"/>
        <v>4.1986774403104221E-2</v>
      </c>
      <c r="H12" s="5">
        <f>SUM('Overall ED'!$B$6*0.4)*G12</f>
        <v>87290503.984053671</v>
      </c>
      <c r="I12" s="5">
        <f t="shared" si="2"/>
        <v>193353656.743009</v>
      </c>
      <c r="J12" s="22"/>
      <c r="K12" s="5">
        <f t="shared" si="3"/>
        <v>96676828.371504501</v>
      </c>
      <c r="L12" s="5">
        <f t="shared" si="4"/>
        <v>96676828.371504501</v>
      </c>
    </row>
    <row r="13" spans="1:12" x14ac:dyDescent="0.2">
      <c r="A13" s="1" t="s">
        <v>13</v>
      </c>
      <c r="B13" s="19">
        <v>337465</v>
      </c>
      <c r="C13" s="20">
        <f t="shared" si="0"/>
        <v>3.9634803337664686E-3</v>
      </c>
      <c r="D13" s="5">
        <f>SUM('Overall ED'!$B$6*0.6)*C13</f>
        <v>12360113.420850731</v>
      </c>
      <c r="E13" s="22"/>
      <c r="F13" s="12">
        <v>90298</v>
      </c>
      <c r="G13" s="13">
        <f t="shared" si="1"/>
        <v>3.4578911436353253E-3</v>
      </c>
      <c r="H13" s="5">
        <f>SUM('Overall ED'!$B$6*0.4)*G13</f>
        <v>7188955.6876178412</v>
      </c>
      <c r="I13" s="5">
        <f t="shared" si="2"/>
        <v>19549069.108468574</v>
      </c>
      <c r="J13" s="22"/>
      <c r="K13" s="5">
        <f t="shared" si="3"/>
        <v>9774534.5542342868</v>
      </c>
      <c r="L13" s="5">
        <f t="shared" si="4"/>
        <v>9774534.5542342868</v>
      </c>
    </row>
    <row r="14" spans="1:12" x14ac:dyDescent="0.2">
      <c r="A14" s="1" t="s">
        <v>14</v>
      </c>
      <c r="B14" s="19">
        <v>496768</v>
      </c>
      <c r="C14" s="20">
        <f t="shared" si="0"/>
        <v>5.8344723110381842E-3</v>
      </c>
      <c r="D14" s="5">
        <f>SUM('Overall ED'!$B$6*0.6)*C14</f>
        <v>18194801.901972577</v>
      </c>
      <c r="E14" s="22"/>
      <c r="F14" s="12">
        <v>137145</v>
      </c>
      <c r="G14" s="13">
        <f t="shared" si="1"/>
        <v>5.2518602947337336E-3</v>
      </c>
      <c r="H14" s="5">
        <f>SUM('Overall ED'!$B$6*0.4)*G14</f>
        <v>10918617.552751433</v>
      </c>
      <c r="I14" s="5">
        <f t="shared" si="2"/>
        <v>29113419.45472401</v>
      </c>
      <c r="J14" s="22"/>
      <c r="K14" s="5">
        <f t="shared" si="3"/>
        <v>14556709.727362005</v>
      </c>
      <c r="L14" s="5">
        <f t="shared" si="4"/>
        <v>14556709.727362005</v>
      </c>
    </row>
    <row r="15" spans="1:12" x14ac:dyDescent="0.2">
      <c r="A15" s="1" t="s">
        <v>15</v>
      </c>
      <c r="B15" s="19">
        <v>3275248</v>
      </c>
      <c r="C15" s="20">
        <f t="shared" si="0"/>
        <v>3.8467340424067555E-2</v>
      </c>
      <c r="D15" s="5">
        <f>SUM('Overall ED'!$B$6*0.6)*C15</f>
        <v>119960401.11245467</v>
      </c>
      <c r="E15" s="22"/>
      <c r="F15" s="12">
        <v>1006936</v>
      </c>
      <c r="G15" s="13">
        <f t="shared" si="1"/>
        <v>3.8559824986240887E-2</v>
      </c>
      <c r="H15" s="5">
        <f>SUM('Overall ED'!$B$6*0.4)*G15</f>
        <v>80165876.146394804</v>
      </c>
      <c r="I15" s="5">
        <f t="shared" si="2"/>
        <v>200126277.25884947</v>
      </c>
      <c r="J15" s="22"/>
      <c r="K15" s="5">
        <f t="shared" si="3"/>
        <v>100063138.62942474</v>
      </c>
      <c r="L15" s="5">
        <f t="shared" si="4"/>
        <v>100063138.62942474</v>
      </c>
    </row>
    <row r="16" spans="1:12" x14ac:dyDescent="0.2">
      <c r="A16" s="1" t="s">
        <v>16</v>
      </c>
      <c r="B16" s="19">
        <v>1806211</v>
      </c>
      <c r="C16" s="20">
        <f t="shared" si="0"/>
        <v>2.1213701501289515E-2</v>
      </c>
      <c r="D16" s="5">
        <f>SUM('Overall ED'!$B$6*0.6)*C16</f>
        <v>66154928.131771348</v>
      </c>
      <c r="E16" s="22"/>
      <c r="F16" s="12">
        <v>504787</v>
      </c>
      <c r="G16" s="13">
        <f t="shared" si="1"/>
        <v>1.9330422564422745E-2</v>
      </c>
      <c r="H16" s="5">
        <f>SUM('Overall ED'!$B$6*0.4)*G16</f>
        <v>40187948.511434883</v>
      </c>
      <c r="I16" s="5">
        <f t="shared" si="2"/>
        <v>106342876.64320624</v>
      </c>
      <c r="J16" s="22"/>
      <c r="K16" s="5">
        <f t="shared" si="3"/>
        <v>53171438.321603119</v>
      </c>
      <c r="L16" s="5">
        <f t="shared" si="4"/>
        <v>53171438.321603119</v>
      </c>
    </row>
    <row r="17" spans="1:12" x14ac:dyDescent="0.2">
      <c r="A17" s="1" t="s">
        <v>17</v>
      </c>
      <c r="B17" s="19">
        <v>853470</v>
      </c>
      <c r="C17" s="20">
        <f t="shared" si="0"/>
        <v>1.0023888582400152E-2</v>
      </c>
      <c r="D17" s="5">
        <f>SUM('Overall ED'!$B$6*0.6)*C17</f>
        <v>31259496.544214875</v>
      </c>
      <c r="E17" s="22"/>
      <c r="F17" s="12">
        <v>207129</v>
      </c>
      <c r="G17" s="13">
        <f t="shared" si="1"/>
        <v>7.9318427284108314E-3</v>
      </c>
      <c r="H17" s="5">
        <f>SUM('Overall ED'!$B$6*0.4)*G17</f>
        <v>16490301.032366119</v>
      </c>
      <c r="I17" s="5">
        <f t="shared" si="2"/>
        <v>47749797.576580994</v>
      </c>
      <c r="J17" s="22"/>
      <c r="K17" s="5">
        <f t="shared" si="3"/>
        <v>23874898.788290497</v>
      </c>
      <c r="L17" s="5">
        <f t="shared" si="4"/>
        <v>23874898.788290497</v>
      </c>
    </row>
    <row r="18" spans="1:12" x14ac:dyDescent="0.2">
      <c r="A18" s="1" t="s">
        <v>18</v>
      </c>
      <c r="B18" s="19">
        <v>813094</v>
      </c>
      <c r="C18" s="20">
        <f t="shared" si="0"/>
        <v>9.549677976985799E-3</v>
      </c>
      <c r="D18" s="5">
        <f>SUM('Overall ED'!$B$6*0.6)*C18</f>
        <v>29780670.771230213</v>
      </c>
      <c r="E18" s="22"/>
      <c r="F18" s="12">
        <v>240209</v>
      </c>
      <c r="G18" s="13">
        <f t="shared" si="1"/>
        <v>9.1986154036800133E-3</v>
      </c>
      <c r="H18" s="5">
        <f>SUM('Overall ED'!$B$6*0.4)*G18</f>
        <v>19123921.424250748</v>
      </c>
      <c r="I18" s="5">
        <f t="shared" si="2"/>
        <v>48904592.195480958</v>
      </c>
      <c r="J18" s="22"/>
      <c r="K18" s="5">
        <f t="shared" si="3"/>
        <v>24452296.097740479</v>
      </c>
      <c r="L18" s="5">
        <f t="shared" si="4"/>
        <v>24452296.097740479</v>
      </c>
    </row>
    <row r="19" spans="1:12" x14ac:dyDescent="0.2">
      <c r="A19" s="1" t="s">
        <v>19</v>
      </c>
      <c r="B19" s="19">
        <v>1155499</v>
      </c>
      <c r="C19" s="20">
        <f t="shared" si="0"/>
        <v>1.3571177936043205E-2</v>
      </c>
      <c r="D19" s="5">
        <f>SUM('Overall ED'!$B$6*0.6)*C19</f>
        <v>42321718.393550731</v>
      </c>
      <c r="E19" s="22"/>
      <c r="F19" s="12">
        <v>407754</v>
      </c>
      <c r="G19" s="13">
        <f t="shared" si="1"/>
        <v>1.5614619873993648E-2</v>
      </c>
      <c r="H19" s="5">
        <f>SUM('Overall ED'!$B$6*0.4)*G19</f>
        <v>32462794.718032796</v>
      </c>
      <c r="I19" s="5">
        <f t="shared" si="2"/>
        <v>74784513.111583531</v>
      </c>
      <c r="J19" s="22"/>
      <c r="K19" s="5">
        <f t="shared" si="3"/>
        <v>37392256.555791765</v>
      </c>
      <c r="L19" s="5">
        <f t="shared" si="4"/>
        <v>37392256.555791765</v>
      </c>
    </row>
    <row r="20" spans="1:12" x14ac:dyDescent="0.2">
      <c r="A20" s="1" t="s">
        <v>20</v>
      </c>
      <c r="B20" s="19">
        <v>1232388</v>
      </c>
      <c r="C20" s="20">
        <f t="shared" si="0"/>
        <v>1.4474228739483473E-2</v>
      </c>
      <c r="D20" s="5">
        <f>SUM('Overall ED'!$B$6*0.6)*C20</f>
        <v>45137882.324079208</v>
      </c>
      <c r="E20" s="22"/>
      <c r="F20" s="12">
        <v>419284</v>
      </c>
      <c r="G20" s="13">
        <f t="shared" si="1"/>
        <v>1.6056152187955367E-2</v>
      </c>
      <c r="H20" s="5">
        <f>SUM('Overall ED'!$B$6*0.4)*G20</f>
        <v>33380740.398759209</v>
      </c>
      <c r="I20" s="5">
        <f t="shared" si="2"/>
        <v>78518622.722838417</v>
      </c>
      <c r="J20" s="22"/>
      <c r="K20" s="5">
        <f t="shared" si="3"/>
        <v>39259311.361419208</v>
      </c>
      <c r="L20" s="5">
        <f t="shared" si="4"/>
        <v>39259311.361419208</v>
      </c>
    </row>
    <row r="21" spans="1:12" x14ac:dyDescent="0.2">
      <c r="A21" s="1" t="s">
        <v>21</v>
      </c>
      <c r="B21" s="19">
        <v>291612</v>
      </c>
      <c r="C21" s="20">
        <f t="shared" si="0"/>
        <v>3.4249431114050564E-3</v>
      </c>
      <c r="D21" s="5">
        <f>SUM('Overall ED'!$B$6*0.6)*C21</f>
        <v>10680685.092916667</v>
      </c>
      <c r="E21" s="22"/>
      <c r="F21" s="12">
        <v>81172</v>
      </c>
      <c r="G21" s="13">
        <f t="shared" si="1"/>
        <v>3.1084181256635429E-3</v>
      </c>
      <c r="H21" s="5">
        <f>SUM('Overall ED'!$B$6*0.4)*G21</f>
        <v>6462401.2832545061</v>
      </c>
      <c r="I21" s="5">
        <f t="shared" si="2"/>
        <v>17143086.376171172</v>
      </c>
      <c r="J21" s="22"/>
      <c r="K21" s="5">
        <f t="shared" si="3"/>
        <v>8571543.1880855858</v>
      </c>
      <c r="L21" s="5">
        <f t="shared" si="4"/>
        <v>8571543.1880855858</v>
      </c>
    </row>
    <row r="22" spans="1:12" x14ac:dyDescent="0.2">
      <c r="A22" s="1" t="s">
        <v>22</v>
      </c>
      <c r="B22" s="19">
        <v>1513944</v>
      </c>
      <c r="C22" s="20">
        <f t="shared" si="0"/>
        <v>1.778106550434487E-2</v>
      </c>
      <c r="D22" s="5">
        <f>SUM('Overall ED'!$B$6*0.6)*C22</f>
        <v>55450252.775299475</v>
      </c>
      <c r="E22" s="22"/>
      <c r="F22" s="12">
        <v>395834</v>
      </c>
      <c r="G22" s="13">
        <f t="shared" si="1"/>
        <v>1.515815281567416E-2</v>
      </c>
      <c r="H22" s="5">
        <f>SUM('Overall ED'!$B$6*0.4)*G22</f>
        <v>31513799.703786578</v>
      </c>
      <c r="I22" s="5">
        <f t="shared" si="2"/>
        <v>86964052.479086056</v>
      </c>
      <c r="J22" s="22"/>
      <c r="K22" s="5">
        <f t="shared" si="3"/>
        <v>43482026.239543028</v>
      </c>
      <c r="L22" s="5">
        <f t="shared" si="4"/>
        <v>43482026.239543028</v>
      </c>
    </row>
    <row r="23" spans="1:12" x14ac:dyDescent="0.2">
      <c r="A23" s="1" t="s">
        <v>23</v>
      </c>
      <c r="B23" s="19">
        <v>1712198</v>
      </c>
      <c r="C23" s="20">
        <f t="shared" si="0"/>
        <v>2.0109531656658554E-2</v>
      </c>
      <c r="D23" s="5">
        <f>SUM('Overall ED'!$B$6*0.6)*C23</f>
        <v>62711574.471289702</v>
      </c>
      <c r="E23" s="22"/>
      <c r="F23" s="12">
        <v>380636.05856942583</v>
      </c>
      <c r="G23" s="13">
        <f t="shared" si="1"/>
        <v>1.4576159559187075E-2</v>
      </c>
      <c r="H23" s="5">
        <f>SUM('Overall ED'!$B$6*0.4)*G23</f>
        <v>30303835.723549929</v>
      </c>
      <c r="I23" s="5">
        <f t="shared" si="2"/>
        <v>93015410.194839627</v>
      </c>
      <c r="J23" s="22"/>
      <c r="K23" s="5">
        <f t="shared" si="3"/>
        <v>46507705.097419813</v>
      </c>
      <c r="L23" s="5">
        <f t="shared" si="4"/>
        <v>46507705.097419813</v>
      </c>
    </row>
    <row r="24" spans="1:12" x14ac:dyDescent="0.2">
      <c r="A24" s="1" t="s">
        <v>24</v>
      </c>
      <c r="B24" s="19">
        <v>2556886</v>
      </c>
      <c r="C24" s="20">
        <f t="shared" si="0"/>
        <v>3.0030276848511134E-2</v>
      </c>
      <c r="D24" s="5">
        <f>SUM('Overall ED'!$B$6*0.6)*C24</f>
        <v>93649418.352081969</v>
      </c>
      <c r="E24" s="22"/>
      <c r="F24" s="12">
        <v>684945</v>
      </c>
      <c r="G24" s="13">
        <f t="shared" si="1"/>
        <v>2.622943198495313E-2</v>
      </c>
      <c r="H24" s="5">
        <f>SUM('Overall ED'!$B$6*0.4)*G24</f>
        <v>54530989.096717559</v>
      </c>
      <c r="I24" s="5">
        <f t="shared" si="2"/>
        <v>148180407.44879952</v>
      </c>
      <c r="J24" s="22"/>
      <c r="K24" s="5">
        <f t="shared" si="3"/>
        <v>74090203.72439976</v>
      </c>
      <c r="L24" s="5">
        <f t="shared" si="4"/>
        <v>74090203.72439976</v>
      </c>
    </row>
    <row r="25" spans="1:12" x14ac:dyDescent="0.2">
      <c r="A25" s="1" t="s">
        <v>25</v>
      </c>
      <c r="B25" s="19">
        <v>1447018</v>
      </c>
      <c r="C25" s="20">
        <f t="shared" si="0"/>
        <v>1.6995028775150273E-2</v>
      </c>
      <c r="D25" s="5">
        <f>SUM('Overall ED'!$B$6*0.6)*C25</f>
        <v>52998997.235306129</v>
      </c>
      <c r="E25" s="22"/>
      <c r="F25" s="12">
        <v>329124</v>
      </c>
      <c r="G25" s="13">
        <f t="shared" si="1"/>
        <v>1.2603545646169712E-2</v>
      </c>
      <c r="H25" s="5">
        <f>SUM('Overall ED'!$B$6*0.4)*G25</f>
        <v>26202771.398386832</v>
      </c>
      <c r="I25" s="5">
        <f t="shared" si="2"/>
        <v>79201768.633692965</v>
      </c>
      <c r="J25" s="22"/>
      <c r="K25" s="5">
        <f t="shared" si="3"/>
        <v>39600884.316846482</v>
      </c>
      <c r="L25" s="5">
        <f t="shared" si="4"/>
        <v>39600884.316846482</v>
      </c>
    </row>
    <row r="26" spans="1:12" x14ac:dyDescent="0.2">
      <c r="A26" s="1" t="s">
        <v>26</v>
      </c>
      <c r="B26" s="19">
        <v>831486</v>
      </c>
      <c r="C26" s="20">
        <f t="shared" si="0"/>
        <v>9.7656895049920596E-3</v>
      </c>
      <c r="D26" s="5">
        <f>SUM('Overall ED'!$B$6*0.6)*C26</f>
        <v>30454302.721317738</v>
      </c>
      <c r="E26" s="22"/>
      <c r="F26" s="12">
        <v>365109</v>
      </c>
      <c r="G26" s="13">
        <f t="shared" si="1"/>
        <v>1.3981563019796119E-2</v>
      </c>
      <c r="H26" s="5">
        <f>SUM('Overall ED'!$B$6*0.4)*G26</f>
        <v>29067669.51815613</v>
      </c>
      <c r="I26" s="5">
        <f t="shared" si="2"/>
        <v>59521972.239473864</v>
      </c>
      <c r="J26" s="22"/>
      <c r="K26" s="5">
        <f t="shared" si="3"/>
        <v>29760986.119736932</v>
      </c>
      <c r="L26" s="5">
        <f t="shared" si="4"/>
        <v>29760986.119736932</v>
      </c>
    </row>
    <row r="27" spans="1:12" x14ac:dyDescent="0.2">
      <c r="A27" s="1" t="s">
        <v>27</v>
      </c>
      <c r="B27" s="19">
        <v>1573257</v>
      </c>
      <c r="C27" s="20">
        <f t="shared" si="0"/>
        <v>1.8477688588328961E-2</v>
      </c>
      <c r="D27" s="5">
        <f>SUM('Overall ED'!$B$6*0.6)*C27</f>
        <v>57622671.862703867</v>
      </c>
      <c r="E27" s="22"/>
      <c r="F27" s="12">
        <v>460004</v>
      </c>
      <c r="G27" s="13">
        <f t="shared" si="1"/>
        <v>1.7615492675771602E-2</v>
      </c>
      <c r="H27" s="5">
        <f>SUM('Overall ED'!$B$6*0.4)*G27</f>
        <v>36622609.272929162</v>
      </c>
      <c r="I27" s="5">
        <f t="shared" si="2"/>
        <v>94245281.135633022</v>
      </c>
      <c r="J27" s="22"/>
      <c r="K27" s="5">
        <f t="shared" si="3"/>
        <v>47122640.567816511</v>
      </c>
      <c r="L27" s="5">
        <f t="shared" si="4"/>
        <v>47122640.567816511</v>
      </c>
    </row>
    <row r="28" spans="1:12" x14ac:dyDescent="0.2">
      <c r="A28" s="1" t="s">
        <v>28</v>
      </c>
      <c r="B28" s="19">
        <v>264856</v>
      </c>
      <c r="C28" s="20">
        <f t="shared" si="0"/>
        <v>3.1106975457604541E-3</v>
      </c>
      <c r="D28" s="5">
        <f>SUM('Overall ED'!$B$6*0.6)*C28</f>
        <v>9700710.296453977</v>
      </c>
      <c r="E28" s="22"/>
      <c r="F28" s="12">
        <v>65095</v>
      </c>
      <c r="G28" s="13">
        <f t="shared" si="1"/>
        <v>2.4927620101767647E-3</v>
      </c>
      <c r="H28" s="5">
        <f>SUM('Overall ED'!$B$6*0.4)*G28</f>
        <v>5182452.2191574937</v>
      </c>
      <c r="I28" s="5">
        <f t="shared" si="2"/>
        <v>14883162.51561147</v>
      </c>
      <c r="J28" s="22"/>
      <c r="K28" s="5">
        <f t="shared" si="3"/>
        <v>7441581.2578057349</v>
      </c>
      <c r="L28" s="5">
        <f t="shared" si="4"/>
        <v>7441581.2578057349</v>
      </c>
    </row>
    <row r="29" spans="1:12" x14ac:dyDescent="0.2">
      <c r="A29" s="1" t="s">
        <v>29</v>
      </c>
      <c r="B29" s="19">
        <v>531672</v>
      </c>
      <c r="C29" s="20">
        <f t="shared" si="0"/>
        <v>6.2444150238225764E-3</v>
      </c>
      <c r="D29" s="5">
        <f>SUM('Overall ED'!$B$6*0.6)*C29</f>
        <v>19473208.251790706</v>
      </c>
      <c r="E29" s="22"/>
      <c r="F29" s="12">
        <v>139569</v>
      </c>
      <c r="G29" s="13">
        <f t="shared" si="1"/>
        <v>5.3446854750497097E-3</v>
      </c>
      <c r="H29" s="5">
        <f>SUM('Overall ED'!$B$6*0.4)*G29</f>
        <v>11111601.102628347</v>
      </c>
      <c r="I29" s="5">
        <f t="shared" si="2"/>
        <v>30584809.354419053</v>
      </c>
      <c r="J29" s="22"/>
      <c r="K29" s="5">
        <f t="shared" si="3"/>
        <v>15292404.677209526</v>
      </c>
      <c r="L29" s="5">
        <f t="shared" si="4"/>
        <v>15292404.677209526</v>
      </c>
    </row>
    <row r="30" spans="1:12" x14ac:dyDescent="0.2">
      <c r="A30" s="1" t="s">
        <v>30</v>
      </c>
      <c r="B30" s="19">
        <v>753279</v>
      </c>
      <c r="C30" s="20">
        <f t="shared" si="0"/>
        <v>8.8471589715652631E-3</v>
      </c>
      <c r="D30" s="5">
        <f>SUM('Overall ED'!$B$6*0.6)*C30</f>
        <v>27589865.252826273</v>
      </c>
      <c r="E30" s="22"/>
      <c r="F30" s="12">
        <v>267801</v>
      </c>
      <c r="G30" s="13">
        <f t="shared" si="1"/>
        <v>1.0255229419883981E-2</v>
      </c>
      <c r="H30" s="5">
        <f>SUM('Overall ED'!$B$6*0.4)*G30</f>
        <v>21320621.963938795</v>
      </c>
      <c r="I30" s="5">
        <f t="shared" si="2"/>
        <v>48910487.216765068</v>
      </c>
      <c r="J30" s="22"/>
      <c r="K30" s="5">
        <f t="shared" si="3"/>
        <v>24455243.608382534</v>
      </c>
      <c r="L30" s="5">
        <f t="shared" si="4"/>
        <v>24455243.608382534</v>
      </c>
    </row>
    <row r="31" spans="1:12" x14ac:dyDescent="0.2">
      <c r="A31" s="1" t="s">
        <v>31</v>
      </c>
      <c r="B31" s="19">
        <v>322853</v>
      </c>
      <c r="C31" s="20">
        <f t="shared" si="0"/>
        <v>3.7918643894848522E-3</v>
      </c>
      <c r="D31" s="5">
        <f>SUM('Overall ED'!$B$6*0.6)*C31</f>
        <v>11824929.098608512</v>
      </c>
      <c r="E31" s="22"/>
      <c r="F31" s="12">
        <v>51343</v>
      </c>
      <c r="G31" s="13">
        <f t="shared" si="1"/>
        <v>1.9661399475920673E-3</v>
      </c>
      <c r="H31" s="5">
        <f>SUM('Overall ED'!$B$6*0.4)*G31</f>
        <v>4087604.951043908</v>
      </c>
      <c r="I31" s="5">
        <f t="shared" si="2"/>
        <v>15912534.04965242</v>
      </c>
      <c r="J31" s="22"/>
      <c r="K31" s="5">
        <f t="shared" si="3"/>
        <v>7956267.02482621</v>
      </c>
      <c r="L31" s="5">
        <f t="shared" si="4"/>
        <v>7956267.02482621</v>
      </c>
    </row>
    <row r="32" spans="1:12" x14ac:dyDescent="0.2">
      <c r="A32" s="1" t="s">
        <v>32</v>
      </c>
      <c r="B32" s="19">
        <v>2201583</v>
      </c>
      <c r="C32" s="20">
        <f t="shared" si="0"/>
        <v>2.5857291641072651E-2</v>
      </c>
      <c r="D32" s="5">
        <f>SUM('Overall ED'!$B$6*0.6)*C32</f>
        <v>80635963.982685059</v>
      </c>
      <c r="E32" s="22"/>
      <c r="F32" s="12">
        <v>514386</v>
      </c>
      <c r="G32" s="13">
        <f t="shared" si="1"/>
        <v>1.9698008746705357E-2</v>
      </c>
      <c r="H32" s="5">
        <f>SUM('Overall ED'!$B$6*0.4)*G32</f>
        <v>40952160.184400439</v>
      </c>
      <c r="I32" s="5">
        <f t="shared" si="2"/>
        <v>121588124.1670855</v>
      </c>
      <c r="J32" s="22"/>
      <c r="K32" s="5">
        <f t="shared" si="3"/>
        <v>60794062.083542749</v>
      </c>
      <c r="L32" s="5">
        <f t="shared" si="4"/>
        <v>60794062.083542749</v>
      </c>
    </row>
    <row r="33" spans="1:12" x14ac:dyDescent="0.2">
      <c r="A33" s="1" t="s">
        <v>33</v>
      </c>
      <c r="B33" s="19">
        <v>560453</v>
      </c>
      <c r="C33" s="20">
        <f t="shared" si="0"/>
        <v>6.582443937891095E-3</v>
      </c>
      <c r="D33" s="5">
        <f>SUM('Overall ED'!$B$6*0.6)*C33</f>
        <v>20527351.420313381</v>
      </c>
      <c r="E33" s="22"/>
      <c r="F33" s="12">
        <v>239540</v>
      </c>
      <c r="G33" s="13">
        <f t="shared" si="1"/>
        <v>9.1729965729739939E-3</v>
      </c>
      <c r="H33" s="5">
        <f>SUM('Overall ED'!$B$6*0.4)*G33</f>
        <v>19070659.875212934</v>
      </c>
      <c r="I33" s="5">
        <f t="shared" si="2"/>
        <v>39598011.295526311</v>
      </c>
      <c r="J33" s="22"/>
      <c r="K33" s="5">
        <f t="shared" si="3"/>
        <v>19799005.647763155</v>
      </c>
      <c r="L33" s="5">
        <f t="shared" si="4"/>
        <v>19799005.647763155</v>
      </c>
    </row>
    <row r="34" spans="1:12" x14ac:dyDescent="0.2">
      <c r="A34" s="1" t="s">
        <v>34</v>
      </c>
      <c r="B34" s="19">
        <v>4730024</v>
      </c>
      <c r="C34" s="20">
        <f t="shared" si="0"/>
        <v>5.5553485849624128E-2</v>
      </c>
      <c r="D34" s="5">
        <f>SUM('Overall ED'!$B$6*0.6)*C34</f>
        <v>173243545.62205285</v>
      </c>
      <c r="E34" s="22"/>
      <c r="F34" s="12">
        <v>1316954</v>
      </c>
      <c r="G34" s="13">
        <f t="shared" si="1"/>
        <v>5.0431721335745153E-2</v>
      </c>
      <c r="H34" s="5">
        <f>SUM('Overall ED'!$B$6*0.4)*G34</f>
        <v>104847548.65701418</v>
      </c>
      <c r="I34" s="5">
        <f t="shared" si="2"/>
        <v>278091094.27906704</v>
      </c>
      <c r="J34" s="22"/>
      <c r="K34" s="5">
        <f t="shared" si="3"/>
        <v>139045547.13953352</v>
      </c>
      <c r="L34" s="5">
        <f t="shared" si="4"/>
        <v>139045547.13953352</v>
      </c>
    </row>
    <row r="35" spans="1:12" x14ac:dyDescent="0.2">
      <c r="A35" s="1" t="s">
        <v>35</v>
      </c>
      <c r="B35" s="19">
        <v>2684284</v>
      </c>
      <c r="C35" s="20">
        <f t="shared" si="0"/>
        <v>3.1526548958392693E-2</v>
      </c>
      <c r="D35" s="5">
        <f>SUM('Overall ED'!$B$6*0.6)*C35</f>
        <v>98315542.92674762</v>
      </c>
      <c r="E35" s="22"/>
      <c r="F35" s="12">
        <v>885934</v>
      </c>
      <c r="G35" s="13">
        <f t="shared" si="1"/>
        <v>3.3926148225269862E-2</v>
      </c>
      <c r="H35" s="5">
        <f>SUM('Overall ED'!$B$6*0.4)*G35</f>
        <v>70532462.160336047</v>
      </c>
      <c r="I35" s="5">
        <f t="shared" si="2"/>
        <v>168848005.08708367</v>
      </c>
      <c r="J35" s="22"/>
      <c r="K35" s="5">
        <f t="shared" si="3"/>
        <v>84424002.543541834</v>
      </c>
      <c r="L35" s="5">
        <f t="shared" si="4"/>
        <v>84424002.543541834</v>
      </c>
    </row>
    <row r="36" spans="1:12" x14ac:dyDescent="0.2">
      <c r="A36" s="1" t="s">
        <v>36</v>
      </c>
      <c r="B36" s="19">
        <v>207123</v>
      </c>
      <c r="C36" s="20">
        <f t="shared" si="0"/>
        <v>2.4326313459787302E-3</v>
      </c>
      <c r="D36" s="5">
        <f>SUM('Overall ED'!$B$6*0.6)*C36</f>
        <v>7586160.8524346706</v>
      </c>
      <c r="E36" s="22"/>
      <c r="F36" s="12">
        <v>31764</v>
      </c>
      <c r="G36" s="13">
        <f t="shared" si="1"/>
        <v>1.2163774866157885E-3</v>
      </c>
      <c r="H36" s="5">
        <f>SUM('Overall ED'!$B$6*0.4)*G36</f>
        <v>2528848.7946742242</v>
      </c>
      <c r="I36" s="5">
        <f t="shared" si="2"/>
        <v>10115009.647108894</v>
      </c>
      <c r="J36" s="22"/>
      <c r="K36" s="5">
        <f t="shared" si="3"/>
        <v>5057504.8235544469</v>
      </c>
      <c r="L36" s="5">
        <f t="shared" si="4"/>
        <v>5057504.8235544469</v>
      </c>
    </row>
    <row r="37" spans="1:12" x14ac:dyDescent="0.2">
      <c r="A37" s="1" t="s">
        <v>37</v>
      </c>
      <c r="B37" s="19">
        <v>2969278</v>
      </c>
      <c r="C37" s="20">
        <f t="shared" si="0"/>
        <v>3.4873764563689368E-2</v>
      </c>
      <c r="D37" s="5">
        <f>SUM('Overall ED'!$B$6*0.6)*C37</f>
        <v>108753834.79186529</v>
      </c>
      <c r="E37" s="22"/>
      <c r="F37" s="12">
        <v>766460</v>
      </c>
      <c r="G37" s="13">
        <f t="shared" si="1"/>
        <v>2.935098502680825E-2</v>
      </c>
      <c r="H37" s="5">
        <f>SUM('Overall ED'!$B$6*0.4)*G37</f>
        <v>61020697.870734349</v>
      </c>
      <c r="I37" s="5">
        <f t="shared" si="2"/>
        <v>169774532.66259962</v>
      </c>
      <c r="J37" s="22"/>
      <c r="K37" s="5">
        <f t="shared" si="3"/>
        <v>84887266.331299812</v>
      </c>
      <c r="L37" s="5">
        <f t="shared" si="4"/>
        <v>84887266.331299812</v>
      </c>
    </row>
    <row r="38" spans="1:12" x14ac:dyDescent="0.2">
      <c r="A38" s="1" t="s">
        <v>38</v>
      </c>
      <c r="B38" s="19">
        <v>1077430</v>
      </c>
      <c r="C38" s="20">
        <f t="shared" si="0"/>
        <v>1.265426819376826E-2</v>
      </c>
      <c r="D38" s="5">
        <f>SUM('Overall ED'!$B$6*0.6)*C38</f>
        <v>39462335.362266317</v>
      </c>
      <c r="E38" s="22"/>
      <c r="F38" s="12">
        <v>424665</v>
      </c>
      <c r="G38" s="13">
        <f t="shared" si="1"/>
        <v>1.6262213365876268E-2</v>
      </c>
      <c r="H38" s="5">
        <f>SUM('Overall ED'!$B$6*0.4)*G38</f>
        <v>33809141.587656759</v>
      </c>
      <c r="I38" s="5">
        <f t="shared" si="2"/>
        <v>73271476.949923068</v>
      </c>
      <c r="J38" s="22"/>
      <c r="K38" s="5">
        <f t="shared" si="3"/>
        <v>36635738.474961534</v>
      </c>
      <c r="L38" s="5">
        <f t="shared" si="4"/>
        <v>36635738.474961534</v>
      </c>
    </row>
    <row r="39" spans="1:12" x14ac:dyDescent="0.2">
      <c r="A39" s="1" t="s">
        <v>39</v>
      </c>
      <c r="B39" s="19">
        <v>1007818</v>
      </c>
      <c r="C39" s="20">
        <f t="shared" si="0"/>
        <v>1.1836684761429643E-2</v>
      </c>
      <c r="D39" s="5">
        <f>SUM('Overall ED'!$B$6*0.6)*C39</f>
        <v>36912701.42851834</v>
      </c>
      <c r="E39" s="22"/>
      <c r="F39" s="12">
        <v>282506</v>
      </c>
      <c r="G39" s="13">
        <f t="shared" si="1"/>
        <v>1.0818345870604457E-2</v>
      </c>
      <c r="H39" s="5">
        <f>SUM('Overall ED'!$B$6*0.4)*G39</f>
        <v>22491341.064986665</v>
      </c>
      <c r="I39" s="5">
        <f t="shared" si="2"/>
        <v>59404042.493505001</v>
      </c>
      <c r="J39" s="22"/>
      <c r="K39" s="5">
        <f t="shared" si="3"/>
        <v>29702021.246752501</v>
      </c>
      <c r="L39" s="5">
        <f t="shared" si="4"/>
        <v>29702021.246752501</v>
      </c>
    </row>
    <row r="40" spans="1:12" x14ac:dyDescent="0.2">
      <c r="A40" s="1" t="s">
        <v>40</v>
      </c>
      <c r="B40" s="19">
        <v>3112017</v>
      </c>
      <c r="C40" s="20">
        <f t="shared" si="0"/>
        <v>3.655021462328515E-2</v>
      </c>
      <c r="D40" s="5">
        <f>SUM('Overall ED'!$B$6*0.6)*C40</f>
        <v>113981844.30271474</v>
      </c>
      <c r="E40" s="22"/>
      <c r="F40" s="12">
        <v>802045</v>
      </c>
      <c r="G40" s="13">
        <f t="shared" si="1"/>
        <v>3.0713684713913867E-2</v>
      </c>
      <c r="H40" s="5">
        <f>SUM('Overall ED'!$B$6*0.4)*G40</f>
        <v>63853750.520226933</v>
      </c>
      <c r="I40" s="5">
        <f t="shared" si="2"/>
        <v>177835594.82294166</v>
      </c>
      <c r="J40" s="22"/>
      <c r="K40" s="5">
        <f t="shared" si="3"/>
        <v>88917797.41147083</v>
      </c>
      <c r="L40" s="5">
        <f t="shared" si="4"/>
        <v>88917797.41147083</v>
      </c>
    </row>
    <row r="41" spans="1:12" x14ac:dyDescent="0.2">
      <c r="A41" s="1" t="s">
        <v>41</v>
      </c>
      <c r="B41" s="19">
        <v>262190</v>
      </c>
      <c r="C41" s="20">
        <f t="shared" si="0"/>
        <v>3.0793857398848188E-3</v>
      </c>
      <c r="D41" s="5">
        <f>SUM('Overall ED'!$B$6*0.6)*C41</f>
        <v>9603064.4298308082</v>
      </c>
      <c r="E41" s="22"/>
      <c r="F41" s="12">
        <v>65995</v>
      </c>
      <c r="G41" s="13">
        <f t="shared" si="1"/>
        <v>2.5272268048485381E-3</v>
      </c>
      <c r="H41" s="5">
        <f>SUM('Overall ED'!$B$6*0.4)*G41</f>
        <v>5254104.5272801109</v>
      </c>
      <c r="I41" s="5">
        <f t="shared" si="2"/>
        <v>14857168.957110919</v>
      </c>
      <c r="J41" s="22"/>
      <c r="K41" s="5">
        <f t="shared" si="3"/>
        <v>7428584.4785554595</v>
      </c>
      <c r="L41" s="5">
        <f t="shared" si="4"/>
        <v>7428584.4785554595</v>
      </c>
    </row>
    <row r="42" spans="1:12" x14ac:dyDescent="0.2">
      <c r="A42" s="1" t="s">
        <v>42</v>
      </c>
      <c r="B42" s="19">
        <v>1304416</v>
      </c>
      <c r="C42" s="20">
        <f t="shared" si="0"/>
        <v>1.5320187761842921E-2</v>
      </c>
      <c r="D42" s="5">
        <f>SUM('Overall ED'!$B$6*0.6)*C42</f>
        <v>47776005.535307147</v>
      </c>
      <c r="E42" s="22"/>
      <c r="F42" s="12">
        <v>458287</v>
      </c>
      <c r="G42" s="13">
        <f t="shared" si="1"/>
        <v>1.7549741506381118E-2</v>
      </c>
      <c r="H42" s="5">
        <f>SUM('Overall ED'!$B$6*0.4)*G42</f>
        <v>36485912.591766343</v>
      </c>
      <c r="I42" s="5">
        <f t="shared" si="2"/>
        <v>84261918.127073497</v>
      </c>
      <c r="J42" s="22"/>
      <c r="K42" s="5">
        <f t="shared" si="3"/>
        <v>42130959.063536748</v>
      </c>
      <c r="L42" s="5">
        <f t="shared" si="4"/>
        <v>42130959.063536748</v>
      </c>
    </row>
    <row r="43" spans="1:12" x14ac:dyDescent="0.2">
      <c r="A43" s="1" t="s">
        <v>43</v>
      </c>
      <c r="B43" s="19">
        <v>238958</v>
      </c>
      <c r="C43" s="20">
        <f t="shared" si="0"/>
        <v>2.8065290729295416E-3</v>
      </c>
      <c r="D43" s="5">
        <f>SUM('Overall ED'!$B$6*0.6)*C43</f>
        <v>8752160.9139307756</v>
      </c>
      <c r="E43" s="22"/>
      <c r="F43" s="12">
        <v>55715</v>
      </c>
      <c r="G43" s="13">
        <f t="shared" si="1"/>
        <v>2.1335622612642822E-3</v>
      </c>
      <c r="H43" s="5">
        <f>SUM('Overall ED'!$B$6*0.4)*G43</f>
        <v>4435675.9411684424</v>
      </c>
      <c r="I43" s="5">
        <f t="shared" si="2"/>
        <v>13187836.855099218</v>
      </c>
      <c r="J43" s="22"/>
      <c r="K43" s="5">
        <f t="shared" si="3"/>
        <v>6593918.427549609</v>
      </c>
      <c r="L43" s="5">
        <f t="shared" si="4"/>
        <v>6593918.427549609</v>
      </c>
    </row>
    <row r="44" spans="1:12" x14ac:dyDescent="0.2">
      <c r="A44" s="1" t="s">
        <v>44</v>
      </c>
      <c r="B44" s="19">
        <v>1724748</v>
      </c>
      <c r="C44" s="20">
        <f t="shared" si="0"/>
        <v>2.0256929692569745E-2</v>
      </c>
      <c r="D44" s="5">
        <f>SUM('Overall ED'!$B$6*0.6)*C44</f>
        <v>63171235.246278748</v>
      </c>
      <c r="E44" s="22"/>
      <c r="F44" s="12">
        <v>573256</v>
      </c>
      <c r="G44" s="13">
        <f t="shared" si="1"/>
        <v>2.1952389260402355E-2</v>
      </c>
      <c r="H44" s="5">
        <f>SUM('Overall ED'!$B$6*0.4)*G44</f>
        <v>45639017.2723765</v>
      </c>
      <c r="I44" s="5">
        <f t="shared" si="2"/>
        <v>108810252.51865524</v>
      </c>
      <c r="J44" s="22"/>
      <c r="K44" s="5">
        <f t="shared" si="3"/>
        <v>54405126.25932762</v>
      </c>
      <c r="L44" s="5">
        <f t="shared" si="4"/>
        <v>54405126.25932762</v>
      </c>
    </row>
    <row r="45" spans="1:12" x14ac:dyDescent="0.2">
      <c r="A45" s="1" t="s">
        <v>45</v>
      </c>
      <c r="B45" s="19">
        <v>8213967</v>
      </c>
      <c r="C45" s="20">
        <f t="shared" si="0"/>
        <v>9.6471920544965423E-2</v>
      </c>
      <c r="D45" s="5">
        <f>SUM('Overall ED'!$B$6*0.6)*C45</f>
        <v>300847684.21947467</v>
      </c>
      <c r="E45" s="22"/>
      <c r="F45" s="12">
        <v>3123844</v>
      </c>
      <c r="G45" s="13">
        <f t="shared" si="1"/>
        <v>0.11962515782961249</v>
      </c>
      <c r="H45" s="5">
        <f>SUM('Overall ED'!$B$6*0.4)*G45</f>
        <v>248700703.12776434</v>
      </c>
      <c r="I45" s="5">
        <f t="shared" si="2"/>
        <v>549548387.34723902</v>
      </c>
      <c r="J45" s="22"/>
      <c r="K45" s="5">
        <f t="shared" si="3"/>
        <v>274774193.67361951</v>
      </c>
      <c r="L45" s="5">
        <f t="shared" si="4"/>
        <v>274774193.67361951</v>
      </c>
    </row>
    <row r="46" spans="1:12" x14ac:dyDescent="0.2">
      <c r="A46" s="1" t="s">
        <v>46</v>
      </c>
      <c r="B46" s="19">
        <v>1039009</v>
      </c>
      <c r="C46" s="20">
        <f t="shared" si="0"/>
        <v>1.2203018796338477E-2</v>
      </c>
      <c r="D46" s="5">
        <f>SUM('Overall ED'!$B$6*0.6)*C46</f>
        <v>38055114.116381541</v>
      </c>
      <c r="E46" s="22"/>
      <c r="F46" s="12">
        <v>235644</v>
      </c>
      <c r="G46" s="13">
        <f t="shared" si="1"/>
        <v>9.0238023062615188E-3</v>
      </c>
      <c r="H46" s="5">
        <f>SUM('Overall ED'!$B$6*0.4)*G46</f>
        <v>18760484.994717699</v>
      </c>
      <c r="I46" s="5">
        <f t="shared" si="2"/>
        <v>56815599.111099243</v>
      </c>
      <c r="J46" s="22"/>
      <c r="K46" s="5">
        <f t="shared" si="3"/>
        <v>28407799.555549622</v>
      </c>
      <c r="L46" s="5">
        <f t="shared" si="4"/>
        <v>28407799.555549622</v>
      </c>
    </row>
    <row r="47" spans="1:12" x14ac:dyDescent="0.2">
      <c r="A47" s="1" t="s">
        <v>47</v>
      </c>
      <c r="B47" s="19">
        <v>151665</v>
      </c>
      <c r="C47" s="20">
        <f t="shared" si="0"/>
        <v>1.7812847104757277E-3</v>
      </c>
      <c r="D47" s="5">
        <f>SUM('Overall ED'!$B$6*0.6)*C47</f>
        <v>5554936.3696185565</v>
      </c>
      <c r="E47" s="22"/>
      <c r="F47" s="12">
        <v>32354</v>
      </c>
      <c r="G47" s="13">
        <f t="shared" si="1"/>
        <v>1.238971074233951E-3</v>
      </c>
      <c r="H47" s="5">
        <f>SUM('Overall ED'!$B$6*0.4)*G47</f>
        <v>2575820.8633323843</v>
      </c>
      <c r="I47" s="5">
        <f t="shared" si="2"/>
        <v>8130757.2329509407</v>
      </c>
      <c r="J47" s="22"/>
      <c r="K47" s="5">
        <f t="shared" si="3"/>
        <v>4065378.6164754704</v>
      </c>
      <c r="L47" s="5">
        <f t="shared" si="4"/>
        <v>4065378.6164754704</v>
      </c>
    </row>
    <row r="48" spans="1:12" x14ac:dyDescent="0.2">
      <c r="A48" s="1" t="s">
        <v>48</v>
      </c>
      <c r="B48" s="19">
        <v>2193576</v>
      </c>
      <c r="C48" s="20">
        <f t="shared" si="0"/>
        <v>2.5763250519674971E-2</v>
      </c>
      <c r="D48" s="5">
        <f>SUM('Overall ED'!$B$6*0.6)*C48</f>
        <v>80342696.745606393</v>
      </c>
      <c r="E48" s="22"/>
      <c r="F48" s="12">
        <v>523972</v>
      </c>
      <c r="G48" s="13">
        <f t="shared" si="1"/>
        <v>2.0065097104176047E-2</v>
      </c>
      <c r="H48" s="5">
        <f>SUM('Overall ED'!$B$6*0.4)*G48</f>
        <v>41715336.879582003</v>
      </c>
      <c r="I48" s="5">
        <f t="shared" si="2"/>
        <v>122058033.6251884</v>
      </c>
      <c r="J48" s="22"/>
      <c r="K48" s="5">
        <f t="shared" si="3"/>
        <v>61029016.812594198</v>
      </c>
      <c r="L48" s="5">
        <f t="shared" si="4"/>
        <v>61029016.812594198</v>
      </c>
    </row>
    <row r="49" spans="1:12" x14ac:dyDescent="0.2">
      <c r="A49" s="1" t="s">
        <v>49</v>
      </c>
      <c r="B49" s="19">
        <v>1862334</v>
      </c>
      <c r="C49" s="20">
        <f t="shared" si="0"/>
        <v>2.1872858470966299E-2</v>
      </c>
      <c r="D49" s="5">
        <f>SUM('Overall ED'!$B$6*0.6)*C49</f>
        <v>68210509.141708404</v>
      </c>
      <c r="E49" s="22"/>
      <c r="F49" s="12">
        <v>493019</v>
      </c>
      <c r="G49" s="13">
        <f t="shared" si="1"/>
        <v>1.8879776226981154E-2</v>
      </c>
      <c r="H49" s="5">
        <f>SUM('Overall ED'!$B$6*0.4)*G49</f>
        <v>39251054.775893815</v>
      </c>
      <c r="I49" s="5">
        <f t="shared" si="2"/>
        <v>107461563.91760221</v>
      </c>
      <c r="J49" s="22"/>
      <c r="K49" s="5">
        <f t="shared" si="3"/>
        <v>53730781.958801106</v>
      </c>
      <c r="L49" s="5">
        <f t="shared" si="4"/>
        <v>53730781.958801106</v>
      </c>
    </row>
    <row r="50" spans="1:12" x14ac:dyDescent="0.2">
      <c r="A50" s="1" t="s">
        <v>50</v>
      </c>
      <c r="B50" s="19">
        <v>431129</v>
      </c>
      <c r="C50" s="20">
        <f t="shared" si="0"/>
        <v>5.0635512210641213E-3</v>
      </c>
      <c r="D50" s="5">
        <f>SUM('Overall ED'!$B$6*0.6)*C50</f>
        <v>15790684.482888462</v>
      </c>
      <c r="E50" s="22"/>
      <c r="F50" s="12">
        <v>137177</v>
      </c>
      <c r="G50" s="13">
        <f t="shared" si="1"/>
        <v>5.2530857096553963E-3</v>
      </c>
      <c r="H50" s="5">
        <f>SUM('Overall ED'!$B$6*0.4)*G50</f>
        <v>10921165.19037357</v>
      </c>
      <c r="I50" s="5">
        <f t="shared" si="2"/>
        <v>26711849.67326203</v>
      </c>
      <c r="J50" s="22"/>
      <c r="K50" s="5">
        <f t="shared" si="3"/>
        <v>13355924.836631015</v>
      </c>
      <c r="L50" s="5">
        <f t="shared" si="4"/>
        <v>13355924.836631015</v>
      </c>
    </row>
    <row r="51" spans="1:12" x14ac:dyDescent="0.2">
      <c r="A51" s="1" t="s">
        <v>51</v>
      </c>
      <c r="B51" s="19">
        <v>1490895</v>
      </c>
      <c r="C51" s="20">
        <f t="shared" si="0"/>
        <v>1.7510358147395311E-2</v>
      </c>
      <c r="D51" s="5">
        <f>SUM('Overall ED'!$B$6*0.6)*C51</f>
        <v>54606051.882652275</v>
      </c>
      <c r="E51" s="22"/>
      <c r="F51" s="12">
        <v>342247</v>
      </c>
      <c r="G51" s="13">
        <f t="shared" si="1"/>
        <v>1.310608064670047E-2</v>
      </c>
      <c r="H51" s="5">
        <f>SUM('Overall ED'!$B$6*0.4)*G51</f>
        <v>27247541.664490279</v>
      </c>
      <c r="I51" s="5">
        <f t="shared" si="2"/>
        <v>81853593.54714255</v>
      </c>
      <c r="J51" s="22"/>
      <c r="K51" s="5">
        <f t="shared" si="3"/>
        <v>40926796.773571275</v>
      </c>
      <c r="L51" s="5">
        <f t="shared" si="4"/>
        <v>40926796.773571275</v>
      </c>
    </row>
    <row r="52" spans="1:12" x14ac:dyDescent="0.2">
      <c r="A52" s="1" t="s">
        <v>52</v>
      </c>
      <c r="B52" s="19">
        <v>149206</v>
      </c>
      <c r="C52" s="20">
        <f t="shared" si="0"/>
        <v>1.7524040913278701E-3</v>
      </c>
      <c r="D52" s="5">
        <f>SUM('Overall ED'!$B$6*0.6)*C52</f>
        <v>5464872.1588059627</v>
      </c>
      <c r="E52" s="22"/>
      <c r="F52" s="12">
        <v>35473</v>
      </c>
      <c r="G52" s="13">
        <f t="shared" si="1"/>
        <v>1.3584107348797968E-3</v>
      </c>
      <c r="H52" s="5">
        <f>SUM('Overall ED'!$B$6*0.4)*G52</f>
        <v>2824135.9178150976</v>
      </c>
      <c r="I52" s="5">
        <f t="shared" si="2"/>
        <v>8289008.0766210603</v>
      </c>
      <c r="J52" s="22"/>
      <c r="K52" s="5">
        <f t="shared" si="3"/>
        <v>4144504.0383105301</v>
      </c>
      <c r="L52" s="5">
        <f t="shared" si="4"/>
        <v>4144504.0383105301</v>
      </c>
    </row>
    <row r="53" spans="1:12" x14ac:dyDescent="0.2">
      <c r="A53" s="1"/>
      <c r="B53" s="19"/>
      <c r="C53" s="20"/>
    </row>
    <row r="54" spans="1:12" x14ac:dyDescent="0.2">
      <c r="A54" s="1"/>
      <c r="B54" s="19"/>
      <c r="C54" s="20"/>
    </row>
    <row r="55" spans="1:12" x14ac:dyDescent="0.2">
      <c r="A55" s="1" t="s">
        <v>53</v>
      </c>
      <c r="B55" s="19">
        <v>781327</v>
      </c>
      <c r="C55" s="20">
        <f t="shared" ref="C55" si="5">SUM(B55/$B$57)</f>
        <v>9.1765789007474952E-3</v>
      </c>
      <c r="D55" s="5">
        <f>SUM('Overall ED'!$B$6*0.6)*C55</f>
        <v>28617161.301981065</v>
      </c>
      <c r="F55" s="17">
        <f>SUM(F57-F56)</f>
        <v>135050.94143057615</v>
      </c>
      <c r="G55" s="13">
        <f t="shared" ref="G55" si="6">SUM(F55/$F$57)</f>
        <v>5.1716699629272217E-3</v>
      </c>
      <c r="H55" s="5">
        <f>SUM('Overall ED'!$B$6*0.4)*G55</f>
        <v>10751901.852925694</v>
      </c>
      <c r="I55" s="5">
        <f>SUM(H55+D55)</f>
        <v>39369063.154906757</v>
      </c>
    </row>
    <row r="56" spans="1:12" x14ac:dyDescent="0.2">
      <c r="F56" s="17">
        <f>SUM(F2:F52)</f>
        <v>25978553.058569424</v>
      </c>
    </row>
    <row r="57" spans="1:12" x14ac:dyDescent="0.2">
      <c r="A57" t="s">
        <v>54</v>
      </c>
      <c r="B57" s="21">
        <f>SUM(B2:B55)</f>
        <v>85143604</v>
      </c>
      <c r="D57" s="4">
        <f>SUM(D2:D55)</f>
        <v>3118500000.0000005</v>
      </c>
      <c r="F57" s="18">
        <v>26113604</v>
      </c>
      <c r="H57" s="4">
        <f>SUM(H2:H55)</f>
        <v>2079000000.0000005</v>
      </c>
      <c r="I57" s="5">
        <f>SUM(H57+D57)</f>
        <v>5197500000.000001</v>
      </c>
    </row>
  </sheetData>
  <hyperlinks>
    <hyperlink ref="A1" location="A162:U235" display="Reading First State Grants" xr:uid="{5A2EE97C-4600-CB4F-9EB8-3572DD47786E}"/>
    <hyperlink ref="A4" location="A6:U79" display="High School Reform" xr:uid="{60E12C43-DEEE-7746-9BF9-542E5F6C3028}"/>
    <hyperlink ref="A5" location="A85:U158" display="21st Century Community Learning Centers" xr:uid="{191D3177-C464-0546-8F22-F61EAED18F89}"/>
    <hyperlink ref="A6" location="A162:U235" display="Reading First State Grants" xr:uid="{4B7972A4-19DA-B740-8FEF-FCA2D77087A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68C7A-4DC3-9C41-A21F-9CD363883890}">
  <dimension ref="A2:B8"/>
  <sheetViews>
    <sheetView workbookViewId="0">
      <selection activeCell="B7" sqref="B7"/>
    </sheetView>
  </sheetViews>
  <sheetFormatPr baseColWidth="10" defaultRowHeight="16" x14ac:dyDescent="0.2"/>
  <cols>
    <col min="1" max="1" width="13.83203125" customWidth="1"/>
    <col min="2" max="2" width="21.5" style="4" customWidth="1"/>
  </cols>
  <sheetData>
    <row r="2" spans="1:2" x14ac:dyDescent="0.2">
      <c r="A2" t="s">
        <v>54</v>
      </c>
      <c r="B2" s="4">
        <v>105000000000</v>
      </c>
    </row>
    <row r="3" spans="1:2" x14ac:dyDescent="0.2">
      <c r="A3" t="s">
        <v>55</v>
      </c>
      <c r="B3" s="4">
        <f>SUM(B2*0.005)</f>
        <v>525000000</v>
      </c>
    </row>
    <row r="4" spans="1:2" x14ac:dyDescent="0.2">
      <c r="A4" t="s">
        <v>56</v>
      </c>
      <c r="B4" s="4">
        <f>SUM(B2*0.005)</f>
        <v>525000000</v>
      </c>
    </row>
    <row r="5" spans="1:2" x14ac:dyDescent="0.2">
      <c r="A5" t="s">
        <v>57</v>
      </c>
      <c r="B5" s="4">
        <f>SUM(B2*0.99)</f>
        <v>103950000000</v>
      </c>
    </row>
    <row r="6" spans="1:2" x14ac:dyDescent="0.2">
      <c r="A6" t="s">
        <v>58</v>
      </c>
      <c r="B6" s="4">
        <f>SUM(B5*0.05)</f>
        <v>5197500000</v>
      </c>
    </row>
    <row r="7" spans="1:2" x14ac:dyDescent="0.2">
      <c r="A7" t="s">
        <v>59</v>
      </c>
      <c r="B7" s="4">
        <f>SUM(B5*0.67)</f>
        <v>69646500000</v>
      </c>
    </row>
    <row r="8" spans="1:2" x14ac:dyDescent="0.2">
      <c r="A8" t="s">
        <v>60</v>
      </c>
      <c r="B8" s="4">
        <f>SUM(B5*0.28)</f>
        <v>29106000000.000004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ESSER</vt:lpstr>
      <vt:lpstr>GEER</vt:lpstr>
      <vt:lpstr>Overall 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2020-07-27T22:35:32Z</dcterms:created>
  <dcterms:modified xsi:type="dcterms:W3CDTF">2020-08-07T17:33:08Z</dcterms:modified>
</cp:coreProperties>
</file>