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riffith/Documents/COVID-19/"/>
    </mc:Choice>
  </mc:AlternateContent>
  <xr:revisionPtr revIDLastSave="0" documentId="13_ncr:1_{22AC901B-A28E-DE41-B227-B509FAE065B8}" xr6:coauthVersionLast="45" xr6:coauthVersionMax="45" xr10:uidLastSave="{00000000-0000-0000-0000-000000000000}"/>
  <bookViews>
    <workbookView xWindow="0" yWindow="0" windowWidth="28800" windowHeight="18000" xr2:uid="{3D57ED98-41D6-2A4F-A423-FF92D577C9E7}"/>
  </bookViews>
  <sheets>
    <sheet name="Total" sheetId="1" r:id="rId1"/>
    <sheet name="Stat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2" l="1"/>
  <c r="B6" i="1" l="1"/>
  <c r="B5" i="1"/>
  <c r="G55" i="2" l="1"/>
  <c r="B57" i="2"/>
  <c r="C51" i="2" s="1"/>
  <c r="G52" i="2"/>
  <c r="G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0" i="2"/>
  <c r="C10" i="2"/>
  <c r="G9" i="2"/>
  <c r="C9" i="2"/>
  <c r="G8" i="2"/>
  <c r="C8" i="2"/>
  <c r="G7" i="2"/>
  <c r="C7" i="2"/>
  <c r="G6" i="2"/>
  <c r="C6" i="2"/>
  <c r="G5" i="2"/>
  <c r="C5" i="2"/>
  <c r="G4" i="2"/>
  <c r="C4" i="2"/>
  <c r="G3" i="2"/>
  <c r="C3" i="2"/>
  <c r="G2" i="2"/>
  <c r="C2" i="2"/>
  <c r="C55" i="2" l="1"/>
  <c r="C52" i="2"/>
  <c r="C57" i="2" s="1"/>
  <c r="B8" i="1" l="1"/>
  <c r="B10" i="1" s="1"/>
  <c r="B13" i="1" s="1"/>
  <c r="H47" i="2" l="1"/>
  <c r="H39" i="2"/>
  <c r="H31" i="2"/>
  <c r="H23" i="2"/>
  <c r="H15" i="2"/>
  <c r="H7" i="2"/>
  <c r="H49" i="2"/>
  <c r="H24" i="2"/>
  <c r="H46" i="2"/>
  <c r="H38" i="2"/>
  <c r="H30" i="2"/>
  <c r="H22" i="2"/>
  <c r="H14" i="2"/>
  <c r="H6" i="2"/>
  <c r="H17" i="2"/>
  <c r="H40" i="2"/>
  <c r="H45" i="2"/>
  <c r="H37" i="2"/>
  <c r="H29" i="2"/>
  <c r="H21" i="2"/>
  <c r="H13" i="2"/>
  <c r="H5" i="2"/>
  <c r="H33" i="2"/>
  <c r="H16" i="2"/>
  <c r="H52" i="2"/>
  <c r="H44" i="2"/>
  <c r="H36" i="2"/>
  <c r="H28" i="2"/>
  <c r="H20" i="2"/>
  <c r="H12" i="2"/>
  <c r="H4" i="2"/>
  <c r="H9" i="2"/>
  <c r="H48" i="2"/>
  <c r="H51" i="2"/>
  <c r="H43" i="2"/>
  <c r="H35" i="2"/>
  <c r="H27" i="2"/>
  <c r="H19" i="2"/>
  <c r="H11" i="2"/>
  <c r="H3" i="2"/>
  <c r="H25" i="2"/>
  <c r="H32" i="2"/>
  <c r="H50" i="2"/>
  <c r="H42" i="2"/>
  <c r="H34" i="2"/>
  <c r="H26" i="2"/>
  <c r="H18" i="2"/>
  <c r="H10" i="2"/>
  <c r="H2" i="2"/>
  <c r="H41" i="2"/>
  <c r="H8" i="2"/>
  <c r="H55" i="2"/>
  <c r="B12" i="1"/>
  <c r="D51" i="2" l="1"/>
  <c r="D43" i="2"/>
  <c r="J43" i="2" s="1"/>
  <c r="D35" i="2"/>
  <c r="J35" i="2" s="1"/>
  <c r="D27" i="2"/>
  <c r="J27" i="2" s="1"/>
  <c r="D19" i="2"/>
  <c r="J19" i="2" s="1"/>
  <c r="D11" i="2"/>
  <c r="J11" i="2" s="1"/>
  <c r="D3" i="2"/>
  <c r="J3" i="2" s="1"/>
  <c r="D21" i="2"/>
  <c r="J21" i="2" s="1"/>
  <c r="D20" i="2"/>
  <c r="D50" i="2"/>
  <c r="J50" i="2" s="1"/>
  <c r="D42" i="2"/>
  <c r="J42" i="2" s="1"/>
  <c r="D34" i="2"/>
  <c r="J34" i="2" s="1"/>
  <c r="D26" i="2"/>
  <c r="J26" i="2" s="1"/>
  <c r="D18" i="2"/>
  <c r="J18" i="2" s="1"/>
  <c r="D10" i="2"/>
  <c r="J10" i="2" s="1"/>
  <c r="D2" i="2"/>
  <c r="J2" i="2" s="1"/>
  <c r="D37" i="2"/>
  <c r="D13" i="2"/>
  <c r="D52" i="2"/>
  <c r="J52" i="2" s="1"/>
  <c r="D28" i="2"/>
  <c r="J28" i="2" s="1"/>
  <c r="D4" i="2"/>
  <c r="J4" i="2" s="1"/>
  <c r="D49" i="2"/>
  <c r="J49" i="2" s="1"/>
  <c r="D41" i="2"/>
  <c r="J41" i="2" s="1"/>
  <c r="D33" i="2"/>
  <c r="J33" i="2" s="1"/>
  <c r="D25" i="2"/>
  <c r="J25" i="2" s="1"/>
  <c r="D17" i="2"/>
  <c r="J17" i="2" s="1"/>
  <c r="D9" i="2"/>
  <c r="J9" i="2" s="1"/>
  <c r="D16" i="2"/>
  <c r="J16" i="2" s="1"/>
  <c r="D55" i="2"/>
  <c r="J55" i="2" s="1"/>
  <c r="D48" i="2"/>
  <c r="J48" i="2" s="1"/>
  <c r="D40" i="2"/>
  <c r="J40" i="2" s="1"/>
  <c r="D32" i="2"/>
  <c r="J32" i="2" s="1"/>
  <c r="D24" i="2"/>
  <c r="J24" i="2" s="1"/>
  <c r="D8" i="2"/>
  <c r="D44" i="2"/>
  <c r="J44" i="2" s="1"/>
  <c r="D47" i="2"/>
  <c r="J47" i="2" s="1"/>
  <c r="D39" i="2"/>
  <c r="J39" i="2" s="1"/>
  <c r="D31" i="2"/>
  <c r="J31" i="2" s="1"/>
  <c r="D23" i="2"/>
  <c r="J23" i="2" s="1"/>
  <c r="D15" i="2"/>
  <c r="J15" i="2" s="1"/>
  <c r="D7" i="2"/>
  <c r="J7" i="2" s="1"/>
  <c r="D29" i="2"/>
  <c r="J29" i="2" s="1"/>
  <c r="D5" i="2"/>
  <c r="J5" i="2" s="1"/>
  <c r="D36" i="2"/>
  <c r="J36" i="2" s="1"/>
  <c r="D12" i="2"/>
  <c r="J12" i="2" s="1"/>
  <c r="D46" i="2"/>
  <c r="J46" i="2" s="1"/>
  <c r="D38" i="2"/>
  <c r="J38" i="2" s="1"/>
  <c r="D30" i="2"/>
  <c r="J30" i="2" s="1"/>
  <c r="D22" i="2"/>
  <c r="J22" i="2" s="1"/>
  <c r="D14" i="2"/>
  <c r="J14" i="2" s="1"/>
  <c r="D6" i="2"/>
  <c r="J6" i="2" s="1"/>
  <c r="E20" i="1" s="1"/>
  <c r="D45" i="2"/>
  <c r="J45" i="2" s="1"/>
  <c r="J20" i="2"/>
  <c r="J13" i="2"/>
  <c r="J8" i="2"/>
  <c r="J51" i="2"/>
  <c r="J37" i="2"/>
  <c r="H57" i="2"/>
  <c r="N15" i="2" l="1"/>
  <c r="M15" i="2"/>
  <c r="L15" i="2"/>
  <c r="L3" i="2"/>
  <c r="M3" i="2"/>
  <c r="N3" i="2"/>
  <c r="M48" i="2"/>
  <c r="L48" i="2"/>
  <c r="N48" i="2"/>
  <c r="L11" i="2"/>
  <c r="N11" i="2"/>
  <c r="M11" i="2"/>
  <c r="N55" i="2"/>
  <c r="M55" i="2"/>
  <c r="L55" i="2"/>
  <c r="L26" i="2"/>
  <c r="N26" i="2"/>
  <c r="M26" i="2"/>
  <c r="L34" i="2"/>
  <c r="N34" i="2"/>
  <c r="M34" i="2"/>
  <c r="N5" i="2"/>
  <c r="M5" i="2"/>
  <c r="L5" i="2"/>
  <c r="L52" i="2"/>
  <c r="N52" i="2"/>
  <c r="M52" i="2"/>
  <c r="N38" i="2"/>
  <c r="L38" i="2"/>
  <c r="M38" i="2"/>
  <c r="M41" i="2"/>
  <c r="L41" i="2"/>
  <c r="N41" i="2"/>
  <c r="M31" i="2"/>
  <c r="L31" i="2"/>
  <c r="N31" i="2"/>
  <c r="M18" i="2"/>
  <c r="L18" i="2"/>
  <c r="N18" i="2"/>
  <c r="L4" i="2"/>
  <c r="N4" i="2"/>
  <c r="M4" i="2"/>
  <c r="L36" i="2"/>
  <c r="N36" i="2"/>
  <c r="M36" i="2"/>
  <c r="L43" i="2"/>
  <c r="N43" i="2"/>
  <c r="M43" i="2"/>
  <c r="M23" i="2"/>
  <c r="N23" i="2"/>
  <c r="L23" i="2"/>
  <c r="L10" i="2"/>
  <c r="M10" i="2"/>
  <c r="N10" i="2"/>
  <c r="M49" i="2"/>
  <c r="L49" i="2"/>
  <c r="N49" i="2"/>
  <c r="M39" i="2"/>
  <c r="N39" i="2"/>
  <c r="L39" i="2"/>
  <c r="L19" i="2"/>
  <c r="N19" i="2"/>
  <c r="M19" i="2"/>
  <c r="N6" i="2"/>
  <c r="D20" i="1" s="1"/>
  <c r="L6" i="2"/>
  <c r="B20" i="1" s="1"/>
  <c r="M6" i="2"/>
  <c r="C20" i="1" s="1"/>
  <c r="L44" i="2"/>
  <c r="N44" i="2"/>
  <c r="M44" i="2"/>
  <c r="M9" i="2"/>
  <c r="L9" i="2"/>
  <c r="N9" i="2"/>
  <c r="L29" i="2"/>
  <c r="N29" i="2"/>
  <c r="M29" i="2"/>
  <c r="N22" i="2"/>
  <c r="M22" i="2"/>
  <c r="L22" i="2"/>
  <c r="M7" i="2"/>
  <c r="N7" i="2"/>
  <c r="L7" i="2"/>
  <c r="M24" i="2"/>
  <c r="L24" i="2"/>
  <c r="N24" i="2"/>
  <c r="M25" i="2"/>
  <c r="L25" i="2"/>
  <c r="N25" i="2"/>
  <c r="L51" i="2"/>
  <c r="N51" i="2"/>
  <c r="M51" i="2"/>
  <c r="M40" i="2"/>
  <c r="L40" i="2"/>
  <c r="N40" i="2"/>
  <c r="M16" i="2"/>
  <c r="N16" i="2"/>
  <c r="L16" i="2"/>
  <c r="M17" i="2"/>
  <c r="L17" i="2"/>
  <c r="N17" i="2"/>
  <c r="N8" i="2"/>
  <c r="M8" i="2"/>
  <c r="L8" i="2"/>
  <c r="N14" i="2"/>
  <c r="M14" i="2"/>
  <c r="L14" i="2"/>
  <c r="N45" i="2"/>
  <c r="L45" i="2"/>
  <c r="M45" i="2"/>
  <c r="M42" i="2"/>
  <c r="L42" i="2"/>
  <c r="N42" i="2"/>
  <c r="N30" i="2"/>
  <c r="M30" i="2"/>
  <c r="L30" i="2"/>
  <c r="N13" i="2"/>
  <c r="L13" i="2"/>
  <c r="M13" i="2"/>
  <c r="N21" i="2"/>
  <c r="M21" i="2"/>
  <c r="L21" i="2"/>
  <c r="N46" i="2"/>
  <c r="M46" i="2"/>
  <c r="L46" i="2"/>
  <c r="L35" i="2"/>
  <c r="N35" i="2"/>
  <c r="M35" i="2"/>
  <c r="M32" i="2"/>
  <c r="N32" i="2"/>
  <c r="L32" i="2"/>
  <c r="L20" i="2"/>
  <c r="N20" i="2"/>
  <c r="M20" i="2"/>
  <c r="L2" i="2"/>
  <c r="M2" i="2"/>
  <c r="N2" i="2"/>
  <c r="L27" i="2"/>
  <c r="M27" i="2"/>
  <c r="N27" i="2"/>
  <c r="D57" i="2"/>
  <c r="J57" i="2" s="1"/>
  <c r="M33" i="2"/>
  <c r="L33" i="2"/>
  <c r="N33" i="2"/>
  <c r="L12" i="2"/>
  <c r="N12" i="2"/>
  <c r="M12" i="2"/>
  <c r="N47" i="2"/>
  <c r="M47" i="2"/>
  <c r="L47" i="2"/>
  <c r="N37" i="2"/>
  <c r="M37" i="2"/>
  <c r="L37" i="2"/>
  <c r="L28" i="2"/>
  <c r="N28" i="2"/>
  <c r="M28" i="2"/>
  <c r="L50" i="2"/>
  <c r="N50" i="2"/>
  <c r="M50" i="2"/>
  <c r="N57" i="2" l="1"/>
  <c r="B17" i="1" s="1"/>
  <c r="L57" i="2"/>
  <c r="B15" i="1" s="1"/>
  <c r="M57" i="2"/>
  <c r="B16" i="1" s="1"/>
</calcChain>
</file>

<file path=xl/sharedStrings.xml><?xml version="1.0" encoding="utf-8"?>
<sst xmlns="http://schemas.openxmlformats.org/spreadsheetml/2006/main" count="87" uniqueCount="83">
  <si>
    <t>Total</t>
  </si>
  <si>
    <t>Outlying Areas</t>
  </si>
  <si>
    <t>BIE</t>
  </si>
  <si>
    <t>Administration &amp; Oversight</t>
  </si>
  <si>
    <t>State or Other Area</t>
  </si>
  <si>
    <t>Percentage</t>
  </si>
  <si>
    <t>Funding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</si>
  <si>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</si>
  <si>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</si>
  <si>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</si>
  <si>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</si>
  <si>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</si>
  <si>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</si>
  <si>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</si>
  <si>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</si>
  <si>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</si>
  <si>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</si>
  <si>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</si>
  <si>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</si>
  <si>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</si>
  <si>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</si>
  <si>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</si>
  <si>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</si>
  <si>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</si>
  <si>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</si>
  <si>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</si>
  <si>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</si>
  <si>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</si>
  <si>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</si>
  <si>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</si>
  <si>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</si>
  <si>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</si>
  <si>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</si>
  <si>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</si>
  <si>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</si>
  <si>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</si>
  <si>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</si>
  <si>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</si>
  <si>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</si>
  <si>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</si>
  <si>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</si>
  <si>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</si>
  <si>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</si>
  <si>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</si>
  <si>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</si>
  <si>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</si>
  <si>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</si>
  <si>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</si>
  <si>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</si>
  <si>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</si>
  <si>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</si>
  <si>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</si>
  <si>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</si>
  <si>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</si>
  <si>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</si>
  <si>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</si>
  <si>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</si>
  <si>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</si>
  <si>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</si>
  <si>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 Funding Funding</t>
  </si>
  <si>
    <t>Estimated Funding for K-12 (85%)</t>
  </si>
  <si>
    <t>Estimated Funding for Higher Education (13%)</t>
  </si>
  <si>
    <t>Governor's Funds (2%)</t>
  </si>
  <si>
    <t>Higher Ed. Funding (13%)</t>
  </si>
  <si>
    <t>K-12 Funding       (85%)</t>
  </si>
  <si>
    <t>Total Education Funding</t>
  </si>
  <si>
    <t>Total Reserved</t>
  </si>
  <si>
    <t>Gov's  Ed Funding (2%)</t>
  </si>
  <si>
    <r>
      <t xml:space="preserve">Total Remaining Funding for States                           </t>
    </r>
    <r>
      <rPr>
        <sz val="14"/>
        <color theme="1"/>
        <rFont val="Calibri"/>
        <family val="2"/>
        <scheme val="minor"/>
      </rPr>
      <t>(Total Minus Reserved Funds)</t>
    </r>
  </si>
  <si>
    <r>
      <t xml:space="preserve">Total Public K-12 Allocation </t>
    </r>
    <r>
      <rPr>
        <sz val="14"/>
        <rFont val="Calibri"/>
        <family val="2"/>
        <scheme val="minor"/>
      </rPr>
      <t>(85%)</t>
    </r>
  </si>
  <si>
    <r>
      <t xml:space="preserve">Total Public Higher Education Allocation </t>
    </r>
    <r>
      <rPr>
        <sz val="14"/>
        <rFont val="Calibri"/>
        <family val="2"/>
        <scheme val="minor"/>
      </rPr>
      <t>(13%)</t>
    </r>
  </si>
  <si>
    <r>
      <t xml:space="preserve">Total Governor's Education Allocation </t>
    </r>
    <r>
      <rPr>
        <sz val="14"/>
        <rFont val="Calibri"/>
        <family val="2"/>
        <scheme val="minor"/>
      </rPr>
      <t>(2%)</t>
    </r>
  </si>
  <si>
    <r>
      <t xml:space="preserve">HEROES Act II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September 30, 2020</t>
    </r>
  </si>
  <si>
    <t>Outlying Areas, BIE, and Administration</t>
  </si>
  <si>
    <t>61% Age 5 to 24 (2018)*</t>
  </si>
  <si>
    <t>Source:</t>
  </si>
  <si>
    <t xml:space="preserve">  *Population age 5-24: United States Census</t>
  </si>
  <si>
    <t>39% Title I, Part A Enrollment (2015)**</t>
  </si>
  <si>
    <t xml:space="preserve">  **Number of Title I formula-eligible childrenfrom NCES (page 203): https://nces.ed.gov/pubs2019/2019016.pdf</t>
  </si>
  <si>
    <t>This funding goes to the Gov who can use it for either HE or K-12.</t>
  </si>
  <si>
    <t>Remaining Funding for States (61%)                                          (Based on Population Age 5-24)</t>
  </si>
  <si>
    <t>a</t>
  </si>
  <si>
    <t>Remaining Funding for States (39%)                                          (Based on Title I, Part A Student Enrollment)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</si>
</sst>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2" borderId="0" xfId="0" applyFont="1" applyFill="1"/>
    <xf numFmtId="10" fontId="1" fillId="0" borderId="0" xfId="0" applyNumberFormat="1" applyFont="1" applyAlignment="1">
      <alignment horizontal="center"/>
    </xf>
    <xf numFmtId="164" fontId="1" fillId="2" borderId="0" xfId="0" applyNumberFormat="1" applyFont="1" applyFill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10" fontId="5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3" borderId="0" xfId="0" applyNumberFormat="1" applyFill="1"/>
    <xf numFmtId="0" fontId="0" fillId="3" borderId="0" xfId="0" applyFill="1"/>
    <xf numFmtId="0" fontId="3" fillId="0" borderId="1" xfId="0" applyFont="1" applyBorder="1" applyAlignment="1">
      <alignment horizontal="right" vertical="center"/>
    </xf>
    <xf numFmtId="164" fontId="5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3" fontId="10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7A7B-05BE-6948-8FAB-3C9837B18A72}">
  <dimension ref="A1:E21"/>
  <sheetViews>
    <sheetView tabSelected="1" zoomScale="90" zoomScaleNormal="90" workbookViewId="0">
      <selection activeCell="D13" sqref="D13"/>
    </sheetView>
  </sheetViews>
  <sheetFormatPr baseColWidth="10" defaultColWidth="10.6640625" defaultRowHeight="16" x14ac:dyDescent="0.2"/>
  <cols>
    <col min="1" max="1" width="47.83203125" customWidth="1"/>
    <col min="2" max="2" width="20.5" style="1" customWidth="1"/>
    <col min="3" max="3" width="19.5" customWidth="1"/>
    <col min="4" max="4" width="18.1640625" customWidth="1"/>
    <col min="5" max="5" width="19.5" customWidth="1"/>
  </cols>
  <sheetData>
    <row r="1" spans="1:3" ht="49" customHeight="1" x14ac:dyDescent="0.2">
      <c r="A1" s="46" t="s">
        <v>72</v>
      </c>
      <c r="B1" s="46"/>
      <c r="C1" s="6"/>
    </row>
    <row r="2" spans="1:3" ht="30" customHeight="1" x14ac:dyDescent="0.2">
      <c r="A2" s="37" t="s">
        <v>65</v>
      </c>
      <c r="B2" s="27">
        <v>208058000000</v>
      </c>
      <c r="C2" s="33"/>
    </row>
    <row r="3" spans="1:3" ht="30" customHeight="1" x14ac:dyDescent="0.25">
      <c r="A3" s="31"/>
      <c r="B3" s="32"/>
      <c r="C3" s="33"/>
    </row>
    <row r="4" spans="1:3" ht="30" customHeight="1" x14ac:dyDescent="0.25">
      <c r="A4" s="35" t="s">
        <v>73</v>
      </c>
      <c r="B4" s="40"/>
    </row>
    <row r="5" spans="1:3" ht="30" customHeight="1" x14ac:dyDescent="0.2">
      <c r="A5" s="42" t="s">
        <v>1</v>
      </c>
      <c r="B5" s="26">
        <f>SUM(B2*0.005)</f>
        <v>1040290000</v>
      </c>
      <c r="C5" s="34"/>
    </row>
    <row r="6" spans="1:3" ht="30" customHeight="1" x14ac:dyDescent="0.2">
      <c r="A6" s="42" t="s">
        <v>2</v>
      </c>
      <c r="B6" s="26">
        <f>SUM(B2*0.005)</f>
        <v>1040290000</v>
      </c>
      <c r="C6" s="11"/>
    </row>
    <row r="7" spans="1:3" ht="30" customHeight="1" x14ac:dyDescent="0.2">
      <c r="A7" s="42" t="s">
        <v>3</v>
      </c>
      <c r="B7" s="26">
        <v>30000000</v>
      </c>
    </row>
    <row r="8" spans="1:3" ht="30" customHeight="1" x14ac:dyDescent="0.2">
      <c r="A8" s="37" t="s">
        <v>66</v>
      </c>
      <c r="B8" s="27">
        <f>SUM(B5:B7)</f>
        <v>2110580000</v>
      </c>
    </row>
    <row r="9" spans="1:3" ht="30" customHeight="1" x14ac:dyDescent="0.25">
      <c r="A9" s="29"/>
      <c r="B9" s="30"/>
    </row>
    <row r="10" spans="1:3" ht="45" customHeight="1" x14ac:dyDescent="0.2">
      <c r="A10" s="36" t="s">
        <v>68</v>
      </c>
      <c r="B10" s="27">
        <f>SUM(B2-B8)</f>
        <v>205947420000</v>
      </c>
      <c r="C10" s="33"/>
    </row>
    <row r="11" spans="1:3" ht="30" customHeight="1" x14ac:dyDescent="0.25">
      <c r="A11" s="29"/>
      <c r="B11" s="30"/>
    </row>
    <row r="12" spans="1:3" ht="52" customHeight="1" x14ac:dyDescent="0.2">
      <c r="A12" s="38" t="s">
        <v>80</v>
      </c>
      <c r="B12" s="26">
        <f>SUM(B10*0.61)</f>
        <v>125627926200</v>
      </c>
      <c r="C12" s="33"/>
    </row>
    <row r="13" spans="1:3" ht="45" customHeight="1" x14ac:dyDescent="0.2">
      <c r="A13" s="38" t="s">
        <v>82</v>
      </c>
      <c r="B13" s="26">
        <f>SUM(B10*0.39)</f>
        <v>80319493800</v>
      </c>
      <c r="C13" s="1"/>
    </row>
    <row r="14" spans="1:3" ht="30" customHeight="1" x14ac:dyDescent="0.2">
      <c r="A14" s="41" t="s">
        <v>81</v>
      </c>
      <c r="B14" s="40"/>
    </row>
    <row r="15" spans="1:3" ht="30" customHeight="1" x14ac:dyDescent="0.2">
      <c r="A15" s="45" t="s">
        <v>69</v>
      </c>
      <c r="B15" s="27">
        <f>SUM('State Allocation'!L57)</f>
        <v>175055307000</v>
      </c>
      <c r="C15" s="33"/>
    </row>
    <row r="16" spans="1:3" ht="30" customHeight="1" x14ac:dyDescent="0.2">
      <c r="A16" s="45" t="s">
        <v>70</v>
      </c>
      <c r="B16" s="27">
        <f>SUM('State Allocation'!M57)</f>
        <v>26773164600</v>
      </c>
      <c r="C16" s="33"/>
    </row>
    <row r="17" spans="1:5" ht="30" customHeight="1" x14ac:dyDescent="0.2">
      <c r="A17" s="45" t="s">
        <v>71</v>
      </c>
      <c r="B17" s="27">
        <f>SUM('State Allocation'!N57)</f>
        <v>4118948400</v>
      </c>
      <c r="C17" s="43"/>
    </row>
    <row r="18" spans="1:5" ht="32" customHeight="1" x14ac:dyDescent="0.2"/>
    <row r="19" spans="1:5" s="2" customFormat="1" ht="40" x14ac:dyDescent="0.25">
      <c r="B19" s="28" t="s">
        <v>64</v>
      </c>
      <c r="C19" s="25" t="s">
        <v>63</v>
      </c>
      <c r="D19" s="25" t="s">
        <v>67</v>
      </c>
      <c r="E19" s="25" t="s">
        <v>65</v>
      </c>
    </row>
    <row r="20" spans="1:5" ht="31" customHeight="1" x14ac:dyDescent="0.2">
      <c r="A20" s="44" t="s">
        <v>11</v>
      </c>
      <c r="B20" s="27">
        <f>VLOOKUP(A20,'State Allocation'!A2:N52,12,FALSE)</f>
        <v>21859193598.457623</v>
      </c>
      <c r="C20" s="27">
        <f>VLOOKUP(A20,'State Allocation'!A2:N52,13,FALSE)</f>
        <v>3343170785.6464605</v>
      </c>
      <c r="D20" s="27">
        <f>VLOOKUP(A20,'State Allocation'!A2:N52,14,FALSE)</f>
        <v>514333967.02253234</v>
      </c>
      <c r="E20" s="27">
        <f>VLOOKUP(A20,'State Allocation'!A2:N52,10,FALSE)</f>
        <v>25716698351.126617</v>
      </c>
    </row>
    <row r="21" spans="1:5" ht="68" x14ac:dyDescent="0.2">
      <c r="D21" s="39" t="s">
        <v>79</v>
      </c>
      <c r="E21" s="1"/>
    </row>
  </sheetData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AA95D3-E1ED-3A45-98F3-489BABD1D827}">
          <x14:formula1>
            <xm:f>'State Allocation'!$A$2:$A$52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80E1-7FDF-744C-AEBB-53D3B7DDADD7}">
  <dimension ref="A1:N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baseColWidth="10" defaultColWidth="10.6640625" defaultRowHeight="16" x14ac:dyDescent="0.2"/>
  <cols>
    <col min="1" max="1" width="23" customWidth="1"/>
    <col min="2" max="3" width="18" style="6" customWidth="1"/>
    <col min="4" max="4" width="18" customWidth="1"/>
    <col min="5" max="5" width="5.1640625" customWidth="1"/>
    <col min="6" max="6" width="25.83203125" style="51" customWidth="1"/>
    <col min="7" max="7" width="16.5" style="11" customWidth="1"/>
    <col min="8" max="8" width="15.83203125" style="6" customWidth="1"/>
    <col min="9" max="9" width="4.6640625" style="6" customWidth="1"/>
    <col min="10" max="10" width="17.83203125" customWidth="1"/>
    <col min="11" max="11" width="4.33203125" customWidth="1"/>
    <col min="12" max="12" width="19.6640625" style="1" customWidth="1"/>
    <col min="13" max="13" width="23.6640625" style="1" customWidth="1"/>
    <col min="14" max="14" width="15" style="1" customWidth="1"/>
  </cols>
  <sheetData>
    <row r="1" spans="1:14" ht="34" x14ac:dyDescent="0.2">
      <c r="A1" s="3" t="s">
        <v>4</v>
      </c>
      <c r="B1" s="4" t="s">
        <v>74</v>
      </c>
      <c r="C1" s="4" t="s">
        <v>5</v>
      </c>
      <c r="D1" s="4" t="s">
        <v>6</v>
      </c>
      <c r="E1" s="5"/>
      <c r="F1" s="14" t="s">
        <v>77</v>
      </c>
      <c r="G1" s="4" t="s">
        <v>5</v>
      </c>
      <c r="H1" s="6" t="s">
        <v>6</v>
      </c>
      <c r="I1" s="12"/>
      <c r="J1" s="4" t="s">
        <v>59</v>
      </c>
      <c r="K1" s="5"/>
      <c r="L1" s="7" t="s">
        <v>60</v>
      </c>
      <c r="M1" s="7" t="s">
        <v>61</v>
      </c>
      <c r="N1" s="7" t="s">
        <v>62</v>
      </c>
    </row>
    <row r="2" spans="1:14" x14ac:dyDescent="0.2">
      <c r="A2" s="3" t="s">
        <v>7</v>
      </c>
      <c r="B2" s="8">
        <v>1261818</v>
      </c>
      <c r="C2" s="9">
        <f>SUM(B2/$B$57)</f>
        <v>1.4819880069911065E-2</v>
      </c>
      <c r="D2" s="10">
        <f>SUM(Total!$B$12*'State Allocation'!C2)</f>
        <v>1861790799.7156382</v>
      </c>
      <c r="E2" s="5"/>
      <c r="F2" s="50">
        <v>209104</v>
      </c>
      <c r="G2" s="11">
        <f>SUM(F2/$F$57)</f>
        <v>1.798410393873584E-2</v>
      </c>
      <c r="H2" s="10">
        <f>SUM(G2*Total!$B$13)</f>
        <v>1444474124.8058488</v>
      </c>
      <c r="I2" s="13"/>
      <c r="J2" s="10">
        <f>SUM(H2+D2)</f>
        <v>3306264924.5214872</v>
      </c>
      <c r="K2" s="5"/>
      <c r="L2" s="10">
        <f>SUM(J2*0.85)</f>
        <v>2810325185.8432641</v>
      </c>
      <c r="M2" s="10">
        <f>SUM(J2*0.13)</f>
        <v>429814440.18779337</v>
      </c>
      <c r="N2" s="10">
        <f>SUM(J2*0.02)</f>
        <v>66125298.490429744</v>
      </c>
    </row>
    <row r="3" spans="1:14" x14ac:dyDescent="0.2">
      <c r="A3" s="3" t="s">
        <v>8</v>
      </c>
      <c r="B3" s="8">
        <v>199912</v>
      </c>
      <c r="C3" s="9">
        <f t="shared" ref="C3:C52" si="0">SUM(B3/$B$57)</f>
        <v>2.347939135862748E-3</v>
      </c>
      <c r="D3" s="10">
        <f>SUM(Total!$B$12*'State Allocation'!C3)</f>
        <v>294966724.48225707</v>
      </c>
      <c r="E3" s="5"/>
      <c r="F3" s="50">
        <v>17602</v>
      </c>
      <c r="G3" s="11">
        <f t="shared" ref="G3:G52" si="1">SUM(F3/$F$57)</f>
        <v>1.5138696415641416E-3</v>
      </c>
      <c r="H3" s="10">
        <f>SUM(G3*Total!$B$13)</f>
        <v>121593243.2896193</v>
      </c>
      <c r="I3" s="13"/>
      <c r="J3" s="10">
        <f t="shared" ref="J3:J52" si="2">SUM(H3+D3)</f>
        <v>416559967.77187634</v>
      </c>
      <c r="K3" s="5"/>
      <c r="L3" s="10">
        <f t="shared" ref="L3:L52" si="3">SUM(J3*0.85)</f>
        <v>354075972.6060949</v>
      </c>
      <c r="M3" s="10">
        <f t="shared" ref="M3:M52" si="4">SUM(J3*0.13)</f>
        <v>54152795.810343929</v>
      </c>
      <c r="N3" s="10">
        <f t="shared" ref="N3:N52" si="5">SUM(J3*0.02)</f>
        <v>8331199.3554375265</v>
      </c>
    </row>
    <row r="4" spans="1:14" x14ac:dyDescent="0.2">
      <c r="A4" s="3" t="s">
        <v>9</v>
      </c>
      <c r="B4" s="8">
        <v>1897310</v>
      </c>
      <c r="C4" s="9">
        <f t="shared" si="0"/>
        <v>2.2283646813916876E-2</v>
      </c>
      <c r="D4" s="10">
        <f>SUM(Total!$B$12*'State Allocation'!C4)</f>
        <v>2799448337.4056144</v>
      </c>
      <c r="E4" s="5"/>
      <c r="F4" s="50">
        <v>303206</v>
      </c>
      <c r="G4" s="11">
        <f t="shared" si="1"/>
        <v>2.6077397940012334E-2</v>
      </c>
      <c r="H4" s="10">
        <f>SUM(G4*Total!$B$13)</f>
        <v>2094523402.1629534</v>
      </c>
      <c r="I4" s="13"/>
      <c r="J4" s="10">
        <f t="shared" si="2"/>
        <v>4893971739.5685673</v>
      </c>
      <c r="K4" s="5"/>
      <c r="L4" s="10">
        <f t="shared" si="3"/>
        <v>4159875978.6332822</v>
      </c>
      <c r="M4" s="10">
        <f t="shared" si="4"/>
        <v>636216326.14391375</v>
      </c>
      <c r="N4" s="10">
        <f t="shared" si="5"/>
        <v>97879434.791371346</v>
      </c>
    </row>
    <row r="5" spans="1:14" x14ac:dyDescent="0.2">
      <c r="A5" s="3" t="s">
        <v>10</v>
      </c>
      <c r="B5" s="8">
        <v>803794</v>
      </c>
      <c r="C5" s="9">
        <f t="shared" si="0"/>
        <v>9.4404507471870704E-3</v>
      </c>
      <c r="D5" s="10">
        <f>SUM(Total!$B$12*'State Allocation'!C5)</f>
        <v>1185984249.7623522</v>
      </c>
      <c r="E5" s="5"/>
      <c r="F5" s="50">
        <v>136326</v>
      </c>
      <c r="G5" s="11">
        <f t="shared" si="1"/>
        <v>1.172479222564897E-2</v>
      </c>
      <c r="H5" s="10">
        <f>SUM(G5*Total!$B$13)</f>
        <v>941729376.47430062</v>
      </c>
      <c r="I5" s="13"/>
      <c r="J5" s="10">
        <f t="shared" si="2"/>
        <v>2127713626.2366529</v>
      </c>
      <c r="K5" s="5"/>
      <c r="L5" s="10">
        <f t="shared" si="3"/>
        <v>1808556582.3011549</v>
      </c>
      <c r="M5" s="10">
        <f t="shared" si="4"/>
        <v>276602771.41076487</v>
      </c>
      <c r="N5" s="10">
        <f t="shared" si="5"/>
        <v>42554272.524733059</v>
      </c>
    </row>
    <row r="6" spans="1:14" x14ac:dyDescent="0.2">
      <c r="A6" s="3" t="s">
        <v>11</v>
      </c>
      <c r="B6" s="8">
        <v>10312908</v>
      </c>
      <c r="C6" s="9">
        <f t="shared" si="0"/>
        <v>0.12112369591496268</v>
      </c>
      <c r="D6" s="10">
        <f>SUM(Total!$B$12*'State Allocation'!C6)</f>
        <v>15216518731.476173</v>
      </c>
      <c r="E6" s="5"/>
      <c r="F6" s="50">
        <v>1520020</v>
      </c>
      <c r="G6" s="11">
        <f t="shared" si="1"/>
        <v>0.13073015183333295</v>
      </c>
      <c r="H6" s="10">
        <f>SUM(G6*Total!$B$13)</f>
        <v>10500179619.650444</v>
      </c>
      <c r="I6" s="13"/>
      <c r="J6" s="10">
        <f t="shared" si="2"/>
        <v>25716698351.126617</v>
      </c>
      <c r="K6" s="5"/>
      <c r="L6" s="10">
        <f t="shared" si="3"/>
        <v>21859193598.457623</v>
      </c>
      <c r="M6" s="10">
        <f t="shared" si="4"/>
        <v>3343170785.6464605</v>
      </c>
      <c r="N6" s="10">
        <f t="shared" si="5"/>
        <v>514333967.02253234</v>
      </c>
    </row>
    <row r="7" spans="1:14" x14ac:dyDescent="0.2">
      <c r="A7" s="3" t="s">
        <v>12</v>
      </c>
      <c r="B7" s="8">
        <v>1459635</v>
      </c>
      <c r="C7" s="9">
        <f t="shared" si="0"/>
        <v>1.7143213716910549E-2</v>
      </c>
      <c r="D7" s="10">
        <f>SUM(Total!$B$12*'State Allocation'!C7)</f>
        <v>2153666387.6588659</v>
      </c>
      <c r="E7" s="5"/>
      <c r="F7" s="50">
        <v>143464</v>
      </c>
      <c r="G7" s="11">
        <f t="shared" si="1"/>
        <v>1.2338699821461085E-2</v>
      </c>
      <c r="H7" s="10">
        <f>SUM(G7*Total!$B$13)</f>
        <v>991038123.80990469</v>
      </c>
      <c r="I7" s="13"/>
      <c r="J7" s="10">
        <f t="shared" si="2"/>
        <v>3144704511.4687705</v>
      </c>
      <c r="K7" s="5"/>
      <c r="L7" s="10">
        <f t="shared" si="3"/>
        <v>2672998834.748455</v>
      </c>
      <c r="M7" s="10">
        <f t="shared" si="4"/>
        <v>408811586.49094015</v>
      </c>
      <c r="N7" s="10">
        <f t="shared" si="5"/>
        <v>62894090.229375415</v>
      </c>
    </row>
    <row r="8" spans="1:14" x14ac:dyDescent="0.2">
      <c r="A8" s="3" t="s">
        <v>13</v>
      </c>
      <c r="B8" s="8">
        <v>898045</v>
      </c>
      <c r="C8" s="9">
        <f t="shared" si="0"/>
        <v>1.0547415869311804E-2</v>
      </c>
      <c r="D8" s="10">
        <f>SUM(Total!$B$12*'State Allocation'!C8)</f>
        <v>1325049982.4306121</v>
      </c>
      <c r="E8" s="5"/>
      <c r="F8" s="50">
        <v>80137</v>
      </c>
      <c r="G8" s="11">
        <f t="shared" si="1"/>
        <v>6.8922265348270433E-3</v>
      </c>
      <c r="H8" s="10">
        <f>SUM(G8*Total!$B$13)</f>
        <v>553580146.43223619</v>
      </c>
      <c r="I8" s="13"/>
      <c r="J8" s="10">
        <f t="shared" si="2"/>
        <v>1878630128.8628483</v>
      </c>
      <c r="K8" s="5"/>
      <c r="L8" s="10">
        <f t="shared" si="3"/>
        <v>1596835609.533421</v>
      </c>
      <c r="M8" s="10">
        <f t="shared" si="4"/>
        <v>244221916.75217029</v>
      </c>
      <c r="N8" s="10">
        <f t="shared" si="5"/>
        <v>37572602.57725697</v>
      </c>
    </row>
    <row r="9" spans="1:14" x14ac:dyDescent="0.2">
      <c r="A9" s="3" t="s">
        <v>14</v>
      </c>
      <c r="B9" s="8">
        <v>233136</v>
      </c>
      <c r="C9" s="9">
        <f t="shared" si="0"/>
        <v>2.7381504781028533E-3</v>
      </c>
      <c r="D9" s="10">
        <f>SUM(Total!$B$12*'State Allocation'!C9)</f>
        <v>343988166.18759996</v>
      </c>
      <c r="E9" s="5"/>
      <c r="F9" s="50">
        <v>25504</v>
      </c>
      <c r="G9" s="11">
        <f t="shared" si="1"/>
        <v>2.1934854754261939E-3</v>
      </c>
      <c r="H9" s="10">
        <f>SUM(G9*Total!$B$13)</f>
        <v>176179643.04388422</v>
      </c>
      <c r="I9" s="13"/>
      <c r="J9" s="10">
        <f t="shared" si="2"/>
        <v>520167809.23148417</v>
      </c>
      <c r="K9" s="5"/>
      <c r="L9" s="10">
        <f t="shared" si="3"/>
        <v>442142637.84676152</v>
      </c>
      <c r="M9" s="10">
        <f t="shared" si="4"/>
        <v>67621815.200092942</v>
      </c>
      <c r="N9" s="10">
        <f t="shared" si="5"/>
        <v>10403356.184629684</v>
      </c>
    </row>
    <row r="10" spans="1:14" x14ac:dyDescent="0.2">
      <c r="A10" s="3" t="s">
        <v>15</v>
      </c>
      <c r="B10" s="8">
        <v>156789</v>
      </c>
      <c r="C10" s="9">
        <f t="shared" si="0"/>
        <v>1.8414653906358015E-3</v>
      </c>
      <c r="D10" s="10">
        <f>SUM(Total!$B$12*'State Allocation'!C10)</f>
        <v>231339478.19464865</v>
      </c>
      <c r="E10" s="5"/>
      <c r="F10" s="50">
        <v>22905</v>
      </c>
      <c r="G10" s="11">
        <f t="shared" si="1"/>
        <v>1.9699570582903457E-3</v>
      </c>
      <c r="H10" s="10">
        <f>SUM(G10*Total!$B$13)</f>
        <v>158225953.72961766</v>
      </c>
      <c r="I10" s="13"/>
      <c r="J10" s="10">
        <f t="shared" si="2"/>
        <v>389565431.92426634</v>
      </c>
      <c r="K10" s="5"/>
      <c r="L10" s="10">
        <f t="shared" si="3"/>
        <v>331130617.13562638</v>
      </c>
      <c r="M10" s="10">
        <f t="shared" si="4"/>
        <v>50643506.150154628</v>
      </c>
      <c r="N10" s="10">
        <f t="shared" si="5"/>
        <v>7791308.6384853274</v>
      </c>
    </row>
    <row r="11" spans="1:14" x14ac:dyDescent="0.2">
      <c r="A11" s="3" t="s">
        <v>16</v>
      </c>
      <c r="B11" s="8">
        <v>4861808</v>
      </c>
      <c r="C11" s="9">
        <f t="shared" si="0"/>
        <v>5.7101270930462376E-2</v>
      </c>
      <c r="D11" s="10">
        <f>SUM(Total!$B$12*'State Allocation'!C11)</f>
        <v>7173514250.3783331</v>
      </c>
      <c r="E11" s="5"/>
      <c r="F11" s="50">
        <v>692039</v>
      </c>
      <c r="G11" s="11">
        <f t="shared" si="1"/>
        <v>5.9519192868901658E-2</v>
      </c>
      <c r="H11" s="10">
        <f>SUM(G11*Total!$B$13)</f>
        <v>4780551442.6147509</v>
      </c>
      <c r="I11" s="13"/>
      <c r="J11" s="10">
        <f t="shared" si="2"/>
        <v>11954065692.993084</v>
      </c>
      <c r="K11" s="5"/>
      <c r="L11" s="10">
        <f t="shared" si="3"/>
        <v>10160955839.044121</v>
      </c>
      <c r="M11" s="10">
        <f t="shared" si="4"/>
        <v>1554028540.0891011</v>
      </c>
      <c r="N11" s="10">
        <f t="shared" si="5"/>
        <v>239081313.85986167</v>
      </c>
    </row>
    <row r="12" spans="1:14" x14ac:dyDescent="0.2">
      <c r="A12" s="3" t="s">
        <v>17</v>
      </c>
      <c r="B12" s="8">
        <v>2895815</v>
      </c>
      <c r="C12" s="9">
        <f t="shared" si="0"/>
        <v>3.401095166232334E-2</v>
      </c>
      <c r="D12" s="10">
        <f>SUM(Total!$B$12*'State Allocation'!C12)</f>
        <v>4272725325.4261236</v>
      </c>
      <c r="E12" s="5"/>
      <c r="F12" s="50">
        <v>452015</v>
      </c>
      <c r="G12" s="11">
        <f t="shared" si="1"/>
        <v>3.8875797411181426E-2</v>
      </c>
      <c r="H12" s="10">
        <f>SUM(G12*Total!$B$13)</f>
        <v>3122484369.1374426</v>
      </c>
      <c r="I12" s="13"/>
      <c r="J12" s="10">
        <f t="shared" si="2"/>
        <v>7395209694.5635662</v>
      </c>
      <c r="K12" s="5"/>
      <c r="L12" s="10">
        <f t="shared" si="3"/>
        <v>6285928240.3790312</v>
      </c>
      <c r="M12" s="10">
        <f t="shared" si="4"/>
        <v>961377260.29326367</v>
      </c>
      <c r="N12" s="10">
        <f t="shared" si="5"/>
        <v>147904193.89127132</v>
      </c>
    </row>
    <row r="13" spans="1:14" x14ac:dyDescent="0.2">
      <c r="A13" s="3" t="s">
        <v>18</v>
      </c>
      <c r="B13" s="8">
        <v>337465</v>
      </c>
      <c r="C13" s="9">
        <f t="shared" si="0"/>
        <v>3.9634803337664686E-3</v>
      </c>
      <c r="D13" s="10">
        <f>SUM(Total!$B$12*'State Allocation'!C13)</f>
        <v>497923814.8655653</v>
      </c>
      <c r="E13" s="5"/>
      <c r="F13" s="50">
        <v>30031</v>
      </c>
      <c r="G13" s="11">
        <f t="shared" si="1"/>
        <v>2.5828325875362308E-3</v>
      </c>
      <c r="H13" s="10">
        <f>SUM(G13*Total!$B$13)</f>
        <v>207451806.00105426</v>
      </c>
      <c r="I13" s="13"/>
      <c r="J13" s="10">
        <f t="shared" si="2"/>
        <v>705375620.86661959</v>
      </c>
      <c r="K13" s="5"/>
      <c r="L13" s="10">
        <f t="shared" si="3"/>
        <v>599569277.73662663</v>
      </c>
      <c r="M13" s="10">
        <f t="shared" si="4"/>
        <v>91698830.712660551</v>
      </c>
      <c r="N13" s="10">
        <f t="shared" si="5"/>
        <v>14107512.417332392</v>
      </c>
    </row>
    <row r="14" spans="1:14" x14ac:dyDescent="0.2">
      <c r="A14" s="3" t="s">
        <v>19</v>
      </c>
      <c r="B14" s="8">
        <v>496768</v>
      </c>
      <c r="C14" s="9">
        <f t="shared" si="0"/>
        <v>5.8344723110381842E-3</v>
      </c>
      <c r="D14" s="10">
        <f>SUM(Total!$B$12*'State Allocation'!C14)</f>
        <v>732972656.90704846</v>
      </c>
      <c r="E14" s="5"/>
      <c r="F14" s="50">
        <v>58277</v>
      </c>
      <c r="G14" s="11">
        <f t="shared" si="1"/>
        <v>5.0121452733458399E-3</v>
      </c>
      <c r="H14" s="10">
        <f>SUM(G14*Total!$B$13)</f>
        <v>402572971.20720047</v>
      </c>
      <c r="I14" s="13"/>
      <c r="J14" s="10">
        <f t="shared" si="2"/>
        <v>1135545628.114249</v>
      </c>
      <c r="K14" s="5"/>
      <c r="L14" s="10">
        <f t="shared" si="3"/>
        <v>965213783.89711165</v>
      </c>
      <c r="M14" s="10">
        <f t="shared" si="4"/>
        <v>147620931.65485236</v>
      </c>
      <c r="N14" s="10">
        <f t="shared" si="5"/>
        <v>22710912.56228498</v>
      </c>
    </row>
    <row r="15" spans="1:14" x14ac:dyDescent="0.2">
      <c r="A15" s="3" t="s">
        <v>20</v>
      </c>
      <c r="B15" s="8">
        <v>3275248</v>
      </c>
      <c r="C15" s="9">
        <f t="shared" si="0"/>
        <v>3.8467340424067555E-2</v>
      </c>
      <c r="D15" s="10">
        <f>SUM(Total!$B$12*'State Allocation'!C15)</f>
        <v>4832572203.905035</v>
      </c>
      <c r="E15" s="5"/>
      <c r="F15" s="50">
        <v>436422</v>
      </c>
      <c r="G15" s="11">
        <f t="shared" si="1"/>
        <v>3.7534712913913519E-2</v>
      </c>
      <c r="H15" s="10">
        <f>SUM(G15*Total!$B$13)</f>
        <v>3014769141.1738567</v>
      </c>
      <c r="I15" s="13"/>
      <c r="J15" s="10">
        <f t="shared" si="2"/>
        <v>7847341345.0788918</v>
      </c>
      <c r="K15" s="5"/>
      <c r="L15" s="10">
        <f t="shared" si="3"/>
        <v>6670240143.3170576</v>
      </c>
      <c r="M15" s="10">
        <f t="shared" si="4"/>
        <v>1020154374.860256</v>
      </c>
      <c r="N15" s="10">
        <f t="shared" si="5"/>
        <v>156946826.90157783</v>
      </c>
    </row>
    <row r="16" spans="1:14" x14ac:dyDescent="0.2">
      <c r="A16" s="3" t="s">
        <v>21</v>
      </c>
      <c r="B16" s="8">
        <v>1806211</v>
      </c>
      <c r="C16" s="9">
        <f t="shared" si="0"/>
        <v>2.1213701501289515E-2</v>
      </c>
      <c r="D16" s="10">
        <f>SUM(Total!$B$12*'State Allocation'!C16)</f>
        <v>2665033326.6328282</v>
      </c>
      <c r="E16" s="5"/>
      <c r="F16" s="50">
        <v>236018</v>
      </c>
      <c r="G16" s="11">
        <f t="shared" si="1"/>
        <v>2.0298857235693989E-2</v>
      </c>
      <c r="H16" s="10">
        <f>SUM(G16*Total!$B$13)</f>
        <v>1630393937.8894083</v>
      </c>
      <c r="I16" s="13"/>
      <c r="J16" s="10">
        <f t="shared" si="2"/>
        <v>4295427264.5222368</v>
      </c>
      <c r="K16" s="5"/>
      <c r="L16" s="10">
        <f t="shared" si="3"/>
        <v>3651113174.8439012</v>
      </c>
      <c r="M16" s="10">
        <f t="shared" si="4"/>
        <v>558405544.38789082</v>
      </c>
      <c r="N16" s="10">
        <f t="shared" si="5"/>
        <v>85908545.290444732</v>
      </c>
    </row>
    <row r="17" spans="1:14" x14ac:dyDescent="0.2">
      <c r="A17" s="3" t="s">
        <v>22</v>
      </c>
      <c r="B17" s="8">
        <v>853470</v>
      </c>
      <c r="C17" s="9">
        <f t="shared" si="0"/>
        <v>1.0023888582400152E-2</v>
      </c>
      <c r="D17" s="10">
        <f>SUM(Total!$B$12*'State Allocation'!C17)</f>
        <v>1259280335.0667889</v>
      </c>
      <c r="E17" s="5"/>
      <c r="F17" s="50">
        <v>80935</v>
      </c>
      <c r="G17" s="11">
        <f t="shared" si="1"/>
        <v>6.9608589614812977E-3</v>
      </c>
      <c r="H17" s="10">
        <f>SUM(G17*Total!$B$13)</f>
        <v>559092668.19937158</v>
      </c>
      <c r="I17" s="13"/>
      <c r="J17" s="10">
        <f t="shared" si="2"/>
        <v>1818373003.2661605</v>
      </c>
      <c r="K17" s="5"/>
      <c r="L17" s="10">
        <f t="shared" si="3"/>
        <v>1545617052.7762363</v>
      </c>
      <c r="M17" s="10">
        <f t="shared" si="4"/>
        <v>236388490.42460087</v>
      </c>
      <c r="N17" s="10">
        <f t="shared" si="5"/>
        <v>36367460.065323211</v>
      </c>
    </row>
    <row r="18" spans="1:14" x14ac:dyDescent="0.2">
      <c r="A18" s="3" t="s">
        <v>23</v>
      </c>
      <c r="B18" s="8">
        <v>813094</v>
      </c>
      <c r="C18" s="9">
        <f t="shared" si="0"/>
        <v>9.549677976985799E-3</v>
      </c>
      <c r="D18" s="10">
        <f>SUM(Total!$B$12*'State Allocation'!C18)</f>
        <v>1199706240.1265373</v>
      </c>
      <c r="E18" s="5"/>
      <c r="F18" s="50">
        <v>90388</v>
      </c>
      <c r="G18" s="11">
        <f t="shared" si="1"/>
        <v>7.7738693990284987E-3</v>
      </c>
      <c r="H18" s="10">
        <f>SUM(G18*Total!$B$13)</f>
        <v>624393254.99727929</v>
      </c>
      <c r="I18" s="13"/>
      <c r="J18" s="10">
        <f t="shared" si="2"/>
        <v>1824099495.1238165</v>
      </c>
      <c r="K18" s="5"/>
      <c r="L18" s="10">
        <f t="shared" si="3"/>
        <v>1550484570.8552439</v>
      </c>
      <c r="M18" s="10">
        <f t="shared" si="4"/>
        <v>237132934.36609614</v>
      </c>
      <c r="N18" s="10">
        <f t="shared" si="5"/>
        <v>36481989.902476333</v>
      </c>
    </row>
    <row r="19" spans="1:14" x14ac:dyDescent="0.2">
      <c r="A19" s="3" t="s">
        <v>24</v>
      </c>
      <c r="B19" s="8">
        <v>1155499</v>
      </c>
      <c r="C19" s="9">
        <f t="shared" si="0"/>
        <v>1.3571177936043205E-2</v>
      </c>
      <c r="D19" s="10">
        <f>SUM(Total!$B$12*'State Allocation'!C19)</f>
        <v>1704918940.1963041</v>
      </c>
      <c r="E19" s="5"/>
      <c r="F19" s="50">
        <v>177244</v>
      </c>
      <c r="G19" s="11">
        <f t="shared" si="1"/>
        <v>1.5243967205396813E-2</v>
      </c>
      <c r="H19" s="10">
        <f>SUM(G19*Total!$B$13)</f>
        <v>1224387729.4412727</v>
      </c>
      <c r="I19" s="13"/>
      <c r="J19" s="10">
        <f t="shared" si="2"/>
        <v>2929306669.6375771</v>
      </c>
      <c r="K19" s="5"/>
      <c r="L19" s="10">
        <f t="shared" si="3"/>
        <v>2489910669.1919403</v>
      </c>
      <c r="M19" s="10">
        <f t="shared" si="4"/>
        <v>380809867.05288506</v>
      </c>
      <c r="N19" s="10">
        <f t="shared" si="5"/>
        <v>58586133.392751545</v>
      </c>
    </row>
    <row r="20" spans="1:14" x14ac:dyDescent="0.2">
      <c r="A20" s="3" t="s">
        <v>25</v>
      </c>
      <c r="B20" s="8">
        <v>1232388</v>
      </c>
      <c r="C20" s="9">
        <f t="shared" si="0"/>
        <v>1.4474228739483473E-2</v>
      </c>
      <c r="D20" s="10">
        <f>SUM(Total!$B$12*'State Allocation'!C20)</f>
        <v>1818367339.8857489</v>
      </c>
      <c r="E20" s="5"/>
      <c r="F20" s="50">
        <v>216933</v>
      </c>
      <c r="G20" s="11">
        <f t="shared" si="1"/>
        <v>1.8657441367653332E-2</v>
      </c>
      <c r="H20" s="10">
        <f>SUM(G20*Total!$B$13)</f>
        <v>1498556246.2530954</v>
      </c>
      <c r="I20" s="13"/>
      <c r="J20" s="10">
        <f t="shared" si="2"/>
        <v>3316923586.1388445</v>
      </c>
      <c r="K20" s="5"/>
      <c r="L20" s="10">
        <f t="shared" si="3"/>
        <v>2819385048.2180176</v>
      </c>
      <c r="M20" s="10">
        <f t="shared" si="4"/>
        <v>431200066.19804978</v>
      </c>
      <c r="N20" s="10">
        <f t="shared" si="5"/>
        <v>66338471.72277689</v>
      </c>
    </row>
    <row r="21" spans="1:14" x14ac:dyDescent="0.2">
      <c r="A21" s="3" t="s">
        <v>26</v>
      </c>
      <c r="B21" s="8">
        <v>291612</v>
      </c>
      <c r="C21" s="9">
        <f t="shared" si="0"/>
        <v>3.4249431114050564E-3</v>
      </c>
      <c r="D21" s="10">
        <f>SUM(Total!$B$12*'State Allocation'!C21)</f>
        <v>430268500.43879282</v>
      </c>
      <c r="E21" s="5"/>
      <c r="F21" s="50">
        <v>32097</v>
      </c>
      <c r="G21" s="11">
        <f t="shared" si="1"/>
        <v>2.7605200480220575E-3</v>
      </c>
      <c r="H21" s="10">
        <f>SUM(G21*Total!$B$13)</f>
        <v>221723572.88188335</v>
      </c>
      <c r="I21" s="13"/>
      <c r="J21" s="10">
        <f t="shared" si="2"/>
        <v>651992073.32067621</v>
      </c>
      <c r="K21" s="5"/>
      <c r="L21" s="10">
        <f t="shared" si="3"/>
        <v>554193262.32257473</v>
      </c>
      <c r="M21" s="10">
        <f t="shared" si="4"/>
        <v>84758969.531687915</v>
      </c>
      <c r="N21" s="10">
        <f t="shared" si="5"/>
        <v>13039841.466413524</v>
      </c>
    </row>
    <row r="22" spans="1:14" x14ac:dyDescent="0.2">
      <c r="A22" s="3" t="s">
        <v>27</v>
      </c>
      <c r="B22" s="8">
        <v>1513944</v>
      </c>
      <c r="C22" s="9">
        <f t="shared" si="0"/>
        <v>1.778106550434487E-2</v>
      </c>
      <c r="D22" s="10">
        <f>SUM(Total!$B$12*'State Allocation'!C22)</f>
        <v>2233798384.9372029</v>
      </c>
      <c r="E22" s="5"/>
      <c r="F22" s="50">
        <v>123348</v>
      </c>
      <c r="G22" s="11">
        <f t="shared" si="1"/>
        <v>1.0608612234271887E-2</v>
      </c>
      <c r="H22" s="10">
        <f>SUM(G22*Total!$B$13)</f>
        <v>852078364.57720494</v>
      </c>
      <c r="I22" s="13"/>
      <c r="J22" s="10">
        <f t="shared" si="2"/>
        <v>3085876749.5144081</v>
      </c>
      <c r="K22" s="5"/>
      <c r="L22" s="10">
        <f t="shared" si="3"/>
        <v>2622995237.0872469</v>
      </c>
      <c r="M22" s="10">
        <f t="shared" si="4"/>
        <v>401163977.43687308</v>
      </c>
      <c r="N22" s="10">
        <f t="shared" si="5"/>
        <v>61717534.990288161</v>
      </c>
    </row>
    <row r="23" spans="1:14" x14ac:dyDescent="0.2">
      <c r="A23" s="3" t="s">
        <v>28</v>
      </c>
      <c r="B23" s="8">
        <v>1712198</v>
      </c>
      <c r="C23" s="9">
        <f t="shared" si="0"/>
        <v>2.0109531656658554E-2</v>
      </c>
      <c r="D23" s="10">
        <f>SUM(Total!$B$12*'State Allocation'!C23)</f>
        <v>2526318758.8792644</v>
      </c>
      <c r="E23" s="5"/>
      <c r="F23" s="50">
        <v>159811</v>
      </c>
      <c r="G23" s="11">
        <f t="shared" si="1"/>
        <v>1.3744632501307068E-2</v>
      </c>
      <c r="H23" s="10">
        <f>SUM(G23*Total!$B$13)</f>
        <v>1103961924.9720116</v>
      </c>
      <c r="I23" s="13"/>
      <c r="J23" s="10">
        <f t="shared" si="2"/>
        <v>3630280683.8512759</v>
      </c>
      <c r="K23" s="5"/>
      <c r="L23" s="10">
        <f t="shared" si="3"/>
        <v>3085738581.2735844</v>
      </c>
      <c r="M23" s="10">
        <f t="shared" si="4"/>
        <v>471936488.90066588</v>
      </c>
      <c r="N23" s="10">
        <f t="shared" si="5"/>
        <v>72605613.677025527</v>
      </c>
    </row>
    <row r="24" spans="1:14" x14ac:dyDescent="0.2">
      <c r="A24" s="3" t="s">
        <v>29</v>
      </c>
      <c r="B24" s="8">
        <v>2556886</v>
      </c>
      <c r="C24" s="9">
        <f t="shared" si="0"/>
        <v>3.0030276848511134E-2</v>
      </c>
      <c r="D24" s="10">
        <f>SUM(Total!$B$12*'State Allocation'!C24)</f>
        <v>3772641403.6903253</v>
      </c>
      <c r="E24" s="5"/>
      <c r="F24" s="50">
        <v>362502</v>
      </c>
      <c r="G24" s="11">
        <f t="shared" si="1"/>
        <v>3.1177182865940487E-2</v>
      </c>
      <c r="H24" s="10">
        <f>SUM(G24*Total!$B$13)</f>
        <v>2504135545.9023733</v>
      </c>
      <c r="I24" s="13"/>
      <c r="J24" s="10">
        <f t="shared" si="2"/>
        <v>6276776949.5926991</v>
      </c>
      <c r="K24" s="5"/>
      <c r="L24" s="10">
        <f t="shared" si="3"/>
        <v>5335260407.1537943</v>
      </c>
      <c r="M24" s="10">
        <f t="shared" si="4"/>
        <v>815981003.44705093</v>
      </c>
      <c r="N24" s="10">
        <f t="shared" si="5"/>
        <v>125535538.99185398</v>
      </c>
    </row>
    <row r="25" spans="1:14" x14ac:dyDescent="0.2">
      <c r="A25" s="3" t="s">
        <v>30</v>
      </c>
      <c r="B25" s="8">
        <v>1447018</v>
      </c>
      <c r="C25" s="9">
        <f t="shared" si="0"/>
        <v>1.6995028775150273E-2</v>
      </c>
      <c r="D25" s="10">
        <f>SUM(Total!$B$12*'State Allocation'!C25)</f>
        <v>2135050220.7314548</v>
      </c>
      <c r="E25" s="5"/>
      <c r="F25" s="50">
        <v>125143</v>
      </c>
      <c r="G25" s="11">
        <f t="shared" si="1"/>
        <v>1.0762992191470365E-2</v>
      </c>
      <c r="H25" s="10">
        <f>SUM(G25*Total!$B$13)</f>
        <v>864478084.59225237</v>
      </c>
      <c r="I25" s="13"/>
      <c r="J25" s="10">
        <f t="shared" si="2"/>
        <v>2999528305.3237071</v>
      </c>
      <c r="K25" s="5"/>
      <c r="L25" s="10">
        <f t="shared" si="3"/>
        <v>2549599059.5251508</v>
      </c>
      <c r="M25" s="10">
        <f t="shared" si="4"/>
        <v>389938679.69208193</v>
      </c>
      <c r="N25" s="10">
        <f t="shared" si="5"/>
        <v>59990566.106474146</v>
      </c>
    </row>
    <row r="26" spans="1:14" x14ac:dyDescent="0.2">
      <c r="A26" s="3" t="s">
        <v>31</v>
      </c>
      <c r="B26" s="8">
        <v>831486</v>
      </c>
      <c r="C26" s="9">
        <f t="shared" si="0"/>
        <v>9.7656895049920596E-3</v>
      </c>
      <c r="D26" s="10">
        <f>SUM(Total!$B$12*'State Allocation'!C26)</f>
        <v>1226843320.425257</v>
      </c>
      <c r="E26" s="5"/>
      <c r="F26" s="50">
        <v>173520</v>
      </c>
      <c r="G26" s="11">
        <f t="shared" si="1"/>
        <v>1.492368254767696E-2</v>
      </c>
      <c r="H26" s="10">
        <f>SUM(G26*Total!$B$13)</f>
        <v>1198662627.8613079</v>
      </c>
      <c r="I26" s="13"/>
      <c r="J26" s="10">
        <f t="shared" si="2"/>
        <v>2425505948.2865648</v>
      </c>
      <c r="K26" s="5"/>
      <c r="L26" s="10">
        <f t="shared" si="3"/>
        <v>2061680056.0435801</v>
      </c>
      <c r="M26" s="10">
        <f t="shared" si="4"/>
        <v>315315773.27725345</v>
      </c>
      <c r="N26" s="10">
        <f t="shared" si="5"/>
        <v>48510118.9657313</v>
      </c>
    </row>
    <row r="27" spans="1:14" x14ac:dyDescent="0.2">
      <c r="A27" s="3" t="s">
        <v>32</v>
      </c>
      <c r="B27" s="8">
        <v>1573257</v>
      </c>
      <c r="C27" s="9">
        <f t="shared" si="0"/>
        <v>1.8477688588328961E-2</v>
      </c>
      <c r="D27" s="10">
        <f>SUM(Total!$B$12*'State Allocation'!C27)</f>
        <v>2321313698.3211727</v>
      </c>
      <c r="E27" s="5"/>
      <c r="F27" s="50">
        <v>212100</v>
      </c>
      <c r="G27" s="11">
        <f t="shared" si="1"/>
        <v>1.8241776558104446E-2</v>
      </c>
      <c r="H27" s="10">
        <f>SUM(G27*Total!$B$13)</f>
        <v>1465170259.1596553</v>
      </c>
      <c r="I27" s="13"/>
      <c r="J27" s="10">
        <f t="shared" si="2"/>
        <v>3786483957.4808283</v>
      </c>
      <c r="K27" s="5"/>
      <c r="L27" s="10">
        <f t="shared" si="3"/>
        <v>3218511363.8587041</v>
      </c>
      <c r="M27" s="10">
        <f t="shared" si="4"/>
        <v>492242914.47250772</v>
      </c>
      <c r="N27" s="10">
        <f t="shared" si="5"/>
        <v>75729679.149616569</v>
      </c>
    </row>
    <row r="28" spans="1:14" x14ac:dyDescent="0.2">
      <c r="A28" s="3" t="s">
        <v>33</v>
      </c>
      <c r="B28" s="8">
        <v>264856</v>
      </c>
      <c r="C28" s="9">
        <f t="shared" si="0"/>
        <v>3.1106975457604541E-3</v>
      </c>
      <c r="D28" s="10">
        <f>SUM(Total!$B$12*'State Allocation'!C28)</f>
        <v>390790481.70931548</v>
      </c>
      <c r="E28" s="5"/>
      <c r="F28" s="50">
        <v>32333</v>
      </c>
      <c r="G28" s="11">
        <f t="shared" si="1"/>
        <v>2.7808173571579019E-3</v>
      </c>
      <c r="H28" s="10">
        <f>SUM(G28*Total!$B$13)</f>
        <v>223353842.47717649</v>
      </c>
      <c r="I28" s="13"/>
      <c r="J28" s="10">
        <f t="shared" si="2"/>
        <v>614144324.18649197</v>
      </c>
      <c r="K28" s="5"/>
      <c r="L28" s="10">
        <f t="shared" si="3"/>
        <v>522022675.55851817</v>
      </c>
      <c r="M28" s="10">
        <f t="shared" si="4"/>
        <v>79838762.144243956</v>
      </c>
      <c r="N28" s="10">
        <f t="shared" si="5"/>
        <v>12282886.483729839</v>
      </c>
    </row>
    <row r="29" spans="1:14" x14ac:dyDescent="0.2">
      <c r="A29" s="3" t="s">
        <v>34</v>
      </c>
      <c r="B29" s="8">
        <v>531672</v>
      </c>
      <c r="C29" s="9">
        <f t="shared" si="0"/>
        <v>6.2444150238225764E-3</v>
      </c>
      <c r="D29" s="10">
        <f>SUM(Total!$B$12*'State Allocation'!C29)</f>
        <v>784472909.77495384</v>
      </c>
      <c r="E29" s="5"/>
      <c r="F29" s="50">
        <v>52331</v>
      </c>
      <c r="G29" s="11">
        <f t="shared" si="1"/>
        <v>4.5007562897791779E-3</v>
      </c>
      <c r="H29" s="10">
        <f>SUM(G29*Total!$B$13)</f>
        <v>361498466.91222966</v>
      </c>
      <c r="I29" s="13"/>
      <c r="J29" s="10">
        <f t="shared" si="2"/>
        <v>1145971376.6871834</v>
      </c>
      <c r="K29" s="5"/>
      <c r="L29" s="10">
        <f t="shared" si="3"/>
        <v>974075670.18410587</v>
      </c>
      <c r="M29" s="10">
        <f t="shared" si="4"/>
        <v>148976278.96933386</v>
      </c>
      <c r="N29" s="10">
        <f t="shared" si="5"/>
        <v>22919427.533743668</v>
      </c>
    </row>
    <row r="30" spans="1:14" x14ac:dyDescent="0.2">
      <c r="A30" s="3" t="s">
        <v>35</v>
      </c>
      <c r="B30" s="8">
        <v>753279</v>
      </c>
      <c r="C30" s="9">
        <f t="shared" si="0"/>
        <v>8.8471589715652631E-3</v>
      </c>
      <c r="D30" s="10">
        <f>SUM(Total!$B$12*'State Allocation'!C30)</f>
        <v>1111450234.3594687</v>
      </c>
      <c r="E30" s="5"/>
      <c r="F30" s="50">
        <v>102245</v>
      </c>
      <c r="G30" s="11">
        <f t="shared" si="1"/>
        <v>8.7936371720103209E-3</v>
      </c>
      <c r="H30" s="10">
        <f>SUM(G30*Total!$B$13)</f>
        <v>706300486.31673253</v>
      </c>
      <c r="I30" s="13"/>
      <c r="J30" s="10">
        <f t="shared" si="2"/>
        <v>1817750720.6762013</v>
      </c>
      <c r="K30" s="5"/>
      <c r="L30" s="10">
        <f t="shared" si="3"/>
        <v>1545088112.5747712</v>
      </c>
      <c r="M30" s="10">
        <f t="shared" si="4"/>
        <v>236307593.68790618</v>
      </c>
      <c r="N30" s="10">
        <f t="shared" si="5"/>
        <v>36355014.413524024</v>
      </c>
    </row>
    <row r="31" spans="1:14" x14ac:dyDescent="0.2">
      <c r="A31" s="3" t="s">
        <v>36</v>
      </c>
      <c r="B31" s="8">
        <v>322853</v>
      </c>
      <c r="C31" s="9">
        <f t="shared" si="0"/>
        <v>3.7918643894848522E-3</v>
      </c>
      <c r="D31" s="10">
        <f>SUM(Total!$B$12*'State Allocation'!C31)</f>
        <v>476364059.68261105</v>
      </c>
      <c r="E31" s="5"/>
      <c r="F31" s="50">
        <v>20292</v>
      </c>
      <c r="G31" s="11">
        <f t="shared" si="1"/>
        <v>1.7452245634938962E-3</v>
      </c>
      <c r="H31" s="10">
        <f>SUM(G31*Total!$B$13)</f>
        <v>140175553.50715569</v>
      </c>
      <c r="I31" s="13"/>
      <c r="J31" s="10">
        <f t="shared" si="2"/>
        <v>616539613.18976676</v>
      </c>
      <c r="K31" s="5"/>
      <c r="L31" s="10">
        <f t="shared" si="3"/>
        <v>524058671.21130174</v>
      </c>
      <c r="M31" s="10">
        <f t="shared" si="4"/>
        <v>80150149.71466969</v>
      </c>
      <c r="N31" s="10">
        <f t="shared" si="5"/>
        <v>12330792.263795335</v>
      </c>
    </row>
    <row r="32" spans="1:14" x14ac:dyDescent="0.2">
      <c r="A32" s="3" t="s">
        <v>37</v>
      </c>
      <c r="B32" s="8">
        <v>2201583</v>
      </c>
      <c r="C32" s="9">
        <f t="shared" si="0"/>
        <v>2.5857291641072651E-2</v>
      </c>
      <c r="D32" s="10">
        <f>SUM(Total!$B$12*'State Allocation'!C32)</f>
        <v>3248397926.016552</v>
      </c>
      <c r="E32" s="5"/>
      <c r="F32" s="50">
        <v>227692</v>
      </c>
      <c r="G32" s="11">
        <f t="shared" si="1"/>
        <v>1.9582775049825165E-2</v>
      </c>
      <c r="H32" s="10">
        <f>SUM(G32*Total!$B$13)</f>
        <v>1572878579.2012269</v>
      </c>
      <c r="I32" s="13"/>
      <c r="J32" s="10">
        <f t="shared" si="2"/>
        <v>4821276505.2177792</v>
      </c>
      <c r="K32" s="5"/>
      <c r="L32" s="10">
        <f t="shared" si="3"/>
        <v>4098085029.435112</v>
      </c>
      <c r="M32" s="10">
        <f t="shared" si="4"/>
        <v>626765945.67831135</v>
      </c>
      <c r="N32" s="10">
        <f t="shared" si="5"/>
        <v>96425530.104355589</v>
      </c>
    </row>
    <row r="33" spans="1:14" x14ac:dyDescent="0.2">
      <c r="A33" s="3" t="s">
        <v>38</v>
      </c>
      <c r="B33" s="8">
        <v>560453</v>
      </c>
      <c r="C33" s="9">
        <f t="shared" si="0"/>
        <v>6.582443937891095E-3</v>
      </c>
      <c r="D33" s="10">
        <f>SUM(Total!$B$12*'State Allocation'!C33)</f>
        <v>826938781.24501991</v>
      </c>
      <c r="E33" s="5"/>
      <c r="F33" s="50">
        <v>106403</v>
      </c>
      <c r="G33" s="11">
        <f t="shared" si="1"/>
        <v>9.1512482372088037E-3</v>
      </c>
      <c r="H33" s="10">
        <f>SUM(G33*Total!$B$13)</f>
        <v>735023626.05075347</v>
      </c>
      <c r="I33" s="13"/>
      <c r="J33" s="10">
        <f t="shared" si="2"/>
        <v>1561962407.2957735</v>
      </c>
      <c r="K33" s="5"/>
      <c r="L33" s="10">
        <f t="shared" si="3"/>
        <v>1327668046.2014074</v>
      </c>
      <c r="M33" s="10">
        <f t="shared" si="4"/>
        <v>203055112.94845057</v>
      </c>
      <c r="N33" s="10">
        <f t="shared" si="5"/>
        <v>31239248.145915471</v>
      </c>
    </row>
    <row r="34" spans="1:14" x14ac:dyDescent="0.2">
      <c r="A34" s="3" t="s">
        <v>39</v>
      </c>
      <c r="B34" s="8">
        <v>4730024</v>
      </c>
      <c r="C34" s="9">
        <f t="shared" si="0"/>
        <v>5.5553485849624128E-2</v>
      </c>
      <c r="D34" s="10">
        <f>SUM(Total!$B$12*'State Allocation'!C34)</f>
        <v>6979069220.4693241</v>
      </c>
      <c r="E34" s="5"/>
      <c r="F34" s="50">
        <v>685509</v>
      </c>
      <c r="G34" s="11">
        <f t="shared" si="1"/>
        <v>5.8957576645778498E-2</v>
      </c>
      <c r="H34" s="10">
        <f>SUM(G34*Total!$B$13)</f>
        <v>4735442711.8636312</v>
      </c>
      <c r="I34" s="13"/>
      <c r="J34" s="10">
        <f t="shared" si="2"/>
        <v>11714511932.332954</v>
      </c>
      <c r="K34" s="5"/>
      <c r="L34" s="10">
        <f t="shared" si="3"/>
        <v>9957335142.4830112</v>
      </c>
      <c r="M34" s="10">
        <f t="shared" si="4"/>
        <v>1522886551.203284</v>
      </c>
      <c r="N34" s="10">
        <f t="shared" si="5"/>
        <v>234290238.64665911</v>
      </c>
    </row>
    <row r="35" spans="1:14" x14ac:dyDescent="0.2">
      <c r="A35" s="3" t="s">
        <v>40</v>
      </c>
      <c r="B35" s="8">
        <v>2684284</v>
      </c>
      <c r="C35" s="9">
        <f t="shared" si="0"/>
        <v>3.1526548958392693E-2</v>
      </c>
      <c r="D35" s="10">
        <f>SUM(Total!$B$12*'State Allocation'!C35)</f>
        <v>3960614965.885644</v>
      </c>
      <c r="E35" s="5"/>
      <c r="F35" s="50">
        <v>391404</v>
      </c>
      <c r="G35" s="11">
        <f t="shared" si="1"/>
        <v>3.3662915190703968E-2</v>
      </c>
      <c r="H35" s="10">
        <f>SUM(G35*Total!$B$13)</f>
        <v>2703788307.9496732</v>
      </c>
      <c r="I35" s="13"/>
      <c r="J35" s="10">
        <f t="shared" si="2"/>
        <v>6664403273.8353176</v>
      </c>
      <c r="K35" s="5"/>
      <c r="L35" s="10">
        <f t="shared" si="3"/>
        <v>5664742782.7600203</v>
      </c>
      <c r="M35" s="10">
        <f t="shared" si="4"/>
        <v>866372425.59859133</v>
      </c>
      <c r="N35" s="10">
        <f t="shared" si="5"/>
        <v>133288065.47670636</v>
      </c>
    </row>
    <row r="36" spans="1:14" x14ac:dyDescent="0.2">
      <c r="A36" s="3" t="s">
        <v>41</v>
      </c>
      <c r="B36" s="8">
        <v>207123</v>
      </c>
      <c r="C36" s="9">
        <f t="shared" si="0"/>
        <v>2.4326313459787302E-3</v>
      </c>
      <c r="D36" s="10">
        <f>SUM(Total!$B$12*'State Allocation'!C36)</f>
        <v>305606431.20442259</v>
      </c>
      <c r="E36" s="5"/>
      <c r="F36" s="50">
        <v>13497</v>
      </c>
      <c r="G36" s="11">
        <f t="shared" si="1"/>
        <v>1.1608168703665048E-3</v>
      </c>
      <c r="H36" s="10">
        <f>SUM(G36*Total!$B$13)</f>
        <v>93236223.42233789</v>
      </c>
      <c r="I36" s="13"/>
      <c r="J36" s="10">
        <f t="shared" si="2"/>
        <v>398842654.62676048</v>
      </c>
      <c r="K36" s="5"/>
      <c r="L36" s="10">
        <f t="shared" si="3"/>
        <v>339016256.43274641</v>
      </c>
      <c r="M36" s="10">
        <f t="shared" si="4"/>
        <v>51849545.101478867</v>
      </c>
      <c r="N36" s="10">
        <f t="shared" si="5"/>
        <v>7976853.0925352098</v>
      </c>
    </row>
    <row r="37" spans="1:14" x14ac:dyDescent="0.2">
      <c r="A37" s="3" t="s">
        <v>42</v>
      </c>
      <c r="B37" s="8">
        <v>2969278</v>
      </c>
      <c r="C37" s="9">
        <f t="shared" si="0"/>
        <v>3.4873764563689368E-2</v>
      </c>
      <c r="D37" s="10">
        <f>SUM(Total!$B$12*'State Allocation'!C37)</f>
        <v>4381118720.9233427</v>
      </c>
      <c r="E37" s="5"/>
      <c r="F37" s="50">
        <v>413971</v>
      </c>
      <c r="G37" s="11">
        <f t="shared" si="1"/>
        <v>3.5603802374045521E-2</v>
      </c>
      <c r="H37" s="10">
        <f>SUM(G37*Total!$B$13)</f>
        <v>2859679384.0385747</v>
      </c>
      <c r="I37" s="13"/>
      <c r="J37" s="10">
        <f t="shared" si="2"/>
        <v>7240798104.9619179</v>
      </c>
      <c r="K37" s="5"/>
      <c r="L37" s="10">
        <f t="shared" si="3"/>
        <v>6154678389.2176304</v>
      </c>
      <c r="M37" s="10">
        <f t="shared" si="4"/>
        <v>941303753.64504933</v>
      </c>
      <c r="N37" s="10">
        <f t="shared" si="5"/>
        <v>144815962.09923837</v>
      </c>
    </row>
    <row r="38" spans="1:14" x14ac:dyDescent="0.2">
      <c r="A38" s="3" t="s">
        <v>43</v>
      </c>
      <c r="B38" s="8">
        <v>1077430</v>
      </c>
      <c r="C38" s="9">
        <f t="shared" si="0"/>
        <v>1.265426819376826E-2</v>
      </c>
      <c r="D38" s="10">
        <f>SUM(Total!$B$12*'State Allocation'!C38)</f>
        <v>1589729470.7617261</v>
      </c>
      <c r="E38" s="5"/>
      <c r="F38" s="50">
        <v>152339</v>
      </c>
      <c r="G38" s="11">
        <f t="shared" si="1"/>
        <v>1.3101999052734903E-2</v>
      </c>
      <c r="H38" s="10">
        <f>SUM(G38*Total!$B$13)</f>
        <v>1052345931.6837469</v>
      </c>
      <c r="I38" s="13"/>
      <c r="J38" s="10">
        <f t="shared" si="2"/>
        <v>2642075402.4454732</v>
      </c>
      <c r="K38" s="5"/>
      <c r="L38" s="10">
        <f t="shared" si="3"/>
        <v>2245764092.0786524</v>
      </c>
      <c r="M38" s="10">
        <f t="shared" si="4"/>
        <v>343469802.31791151</v>
      </c>
      <c r="N38" s="10">
        <f t="shared" si="5"/>
        <v>52841508.048909463</v>
      </c>
    </row>
    <row r="39" spans="1:14" x14ac:dyDescent="0.2">
      <c r="A39" s="3" t="s">
        <v>44</v>
      </c>
      <c r="B39" s="8">
        <v>1007818</v>
      </c>
      <c r="C39" s="9">
        <f t="shared" si="0"/>
        <v>1.1836684761429643E-2</v>
      </c>
      <c r="D39" s="10">
        <f>SUM(Total!$B$12*'State Allocation'!C39)</f>
        <v>1487018159.6615479</v>
      </c>
      <c r="E39" s="5"/>
      <c r="F39" s="50">
        <v>122311</v>
      </c>
      <c r="G39" s="11">
        <f t="shared" si="1"/>
        <v>1.051942448184023E-2</v>
      </c>
      <c r="H39" s="10">
        <f>SUM(G39*Total!$B$13)</f>
        <v>844914849.44873464</v>
      </c>
      <c r="I39" s="13"/>
      <c r="J39" s="10">
        <f t="shared" si="2"/>
        <v>2331933009.1102824</v>
      </c>
      <c r="K39" s="5"/>
      <c r="L39" s="10">
        <f t="shared" si="3"/>
        <v>1982143057.7437401</v>
      </c>
      <c r="M39" s="10">
        <f t="shared" si="4"/>
        <v>303151291.18433672</v>
      </c>
      <c r="N39" s="10">
        <f t="shared" si="5"/>
        <v>46638660.182205647</v>
      </c>
    </row>
    <row r="40" spans="1:14" x14ac:dyDescent="0.2">
      <c r="A40" s="3" t="s">
        <v>45</v>
      </c>
      <c r="B40" s="8">
        <v>3112017</v>
      </c>
      <c r="C40" s="9">
        <f t="shared" si="0"/>
        <v>3.655021462328515E-2</v>
      </c>
      <c r="D40" s="10">
        <f>SUM(Total!$B$12*'State Allocation'!C40)</f>
        <v>4591727665.288228</v>
      </c>
      <c r="E40" s="5"/>
      <c r="F40" s="50">
        <v>357731</v>
      </c>
      <c r="G40" s="11">
        <f t="shared" si="1"/>
        <v>3.0766850400317118E-2</v>
      </c>
      <c r="H40" s="10">
        <f>SUM(G40*Total!$B$13)</f>
        <v>2471177849.9737983</v>
      </c>
      <c r="I40" s="13"/>
      <c r="J40" s="10">
        <f t="shared" si="2"/>
        <v>7062905515.2620258</v>
      </c>
      <c r="K40" s="5"/>
      <c r="L40" s="10">
        <f t="shared" si="3"/>
        <v>6003469687.9727221</v>
      </c>
      <c r="M40" s="10">
        <f t="shared" si="4"/>
        <v>918177716.98406339</v>
      </c>
      <c r="N40" s="10">
        <f t="shared" si="5"/>
        <v>141258110.30524051</v>
      </c>
    </row>
    <row r="41" spans="1:14" x14ac:dyDescent="0.2">
      <c r="A41" s="3" t="s">
        <v>46</v>
      </c>
      <c r="B41" s="8">
        <v>262190</v>
      </c>
      <c r="C41" s="9">
        <f t="shared" si="0"/>
        <v>3.0793857398848188E-3</v>
      </c>
      <c r="D41" s="10">
        <f>SUM(Total!$B$12*'State Allocation'!C41)</f>
        <v>386856844.47158241</v>
      </c>
      <c r="E41" s="5"/>
      <c r="F41" s="50">
        <v>32014</v>
      </c>
      <c r="G41" s="11">
        <f t="shared" si="1"/>
        <v>2.7533815876056374E-3</v>
      </c>
      <c r="H41" s="10">
        <f>SUM(G41*Total!$B$13)</f>
        <v>221150215.35472515</v>
      </c>
      <c r="I41" s="13"/>
      <c r="J41" s="10">
        <f t="shared" si="2"/>
        <v>608007059.82630754</v>
      </c>
      <c r="K41" s="5"/>
      <c r="L41" s="10">
        <f t="shared" si="3"/>
        <v>516806000.85236138</v>
      </c>
      <c r="M41" s="10">
        <f t="shared" si="4"/>
        <v>79040917.777419984</v>
      </c>
      <c r="N41" s="10">
        <f t="shared" si="5"/>
        <v>12160141.196526151</v>
      </c>
    </row>
    <row r="42" spans="1:14" x14ac:dyDescent="0.2">
      <c r="A42" s="3" t="s">
        <v>47</v>
      </c>
      <c r="B42" s="8">
        <v>1304416</v>
      </c>
      <c r="C42" s="9">
        <f t="shared" si="0"/>
        <v>1.5320187761842921E-2</v>
      </c>
      <c r="D42" s="10">
        <f>SUM(Total!$B$12*'State Allocation'!C42)</f>
        <v>1924643417.5149457</v>
      </c>
      <c r="E42" s="5"/>
      <c r="F42" s="50">
        <v>197947</v>
      </c>
      <c r="G42" s="11">
        <f t="shared" si="1"/>
        <v>1.7024540048784065E-2</v>
      </c>
      <c r="H42" s="10">
        <f>SUM(G42*Total!$B$13)</f>
        <v>1367402438.8961635</v>
      </c>
      <c r="I42" s="13"/>
      <c r="J42" s="10">
        <f t="shared" si="2"/>
        <v>3292045856.411109</v>
      </c>
      <c r="K42" s="5"/>
      <c r="L42" s="10">
        <f t="shared" si="3"/>
        <v>2798238977.9494424</v>
      </c>
      <c r="M42" s="10">
        <f t="shared" si="4"/>
        <v>427965961.33344418</v>
      </c>
      <c r="N42" s="10">
        <f t="shared" si="5"/>
        <v>65840917.128222182</v>
      </c>
    </row>
    <row r="43" spans="1:14" x14ac:dyDescent="0.2">
      <c r="A43" s="3" t="s">
        <v>48</v>
      </c>
      <c r="B43" s="8">
        <v>238958</v>
      </c>
      <c r="C43" s="9">
        <f t="shared" si="0"/>
        <v>2.8065290729295416E-3</v>
      </c>
      <c r="D43" s="10">
        <f>SUM(Total!$B$12*'State Allocation'!C43)</f>
        <v>352578427.2521469</v>
      </c>
      <c r="E43" s="5"/>
      <c r="F43" s="50">
        <v>26113</v>
      </c>
      <c r="G43" s="11">
        <f t="shared" si="1"/>
        <v>2.2458628536623356E-3</v>
      </c>
      <c r="H43" s="10">
        <f>SUM(G43*Total!$B$13)</f>
        <v>180386567.55038229</v>
      </c>
      <c r="I43" s="13"/>
      <c r="J43" s="10">
        <f t="shared" si="2"/>
        <v>532964994.80252922</v>
      </c>
      <c r="K43" s="5"/>
      <c r="L43" s="10">
        <f t="shared" si="3"/>
        <v>453020245.5821498</v>
      </c>
      <c r="M43" s="10">
        <f t="shared" si="4"/>
        <v>69285449.324328795</v>
      </c>
      <c r="N43" s="10">
        <f t="shared" si="5"/>
        <v>10659299.896050585</v>
      </c>
    </row>
    <row r="44" spans="1:14" x14ac:dyDescent="0.2">
      <c r="A44" s="3" t="s">
        <v>49</v>
      </c>
      <c r="B44" s="8">
        <v>1724748</v>
      </c>
      <c r="C44" s="9">
        <f t="shared" si="0"/>
        <v>2.0256929692569745E-2</v>
      </c>
      <c r="D44" s="10">
        <f>SUM(Total!$B$12*'State Allocation'!C44)</f>
        <v>2544836068.4567404</v>
      </c>
      <c r="E44" s="5"/>
      <c r="F44" s="50">
        <v>267394</v>
      </c>
      <c r="G44" s="11">
        <f t="shared" si="1"/>
        <v>2.2997367284195096E-2</v>
      </c>
      <c r="H44" s="10">
        <f>SUM(G44*Total!$B$13)</f>
        <v>1847136898.9992309</v>
      </c>
      <c r="I44" s="13"/>
      <c r="J44" s="10">
        <f t="shared" si="2"/>
        <v>4391972967.4559708</v>
      </c>
      <c r="K44" s="5"/>
      <c r="L44" s="10">
        <f t="shared" si="3"/>
        <v>3733177022.337575</v>
      </c>
      <c r="M44" s="10">
        <f t="shared" si="4"/>
        <v>570956485.76927626</v>
      </c>
      <c r="N44" s="10">
        <f t="shared" si="5"/>
        <v>87839459.34911941</v>
      </c>
    </row>
    <row r="45" spans="1:14" x14ac:dyDescent="0.2">
      <c r="A45" s="3" t="s">
        <v>50</v>
      </c>
      <c r="B45" s="8">
        <v>8213967</v>
      </c>
      <c r="C45" s="9">
        <f t="shared" si="0"/>
        <v>9.6471920544965423E-2</v>
      </c>
      <c r="D45" s="10">
        <f>SUM(Total!$B$12*'State Allocation'!C45)</f>
        <v>12119567314.595181</v>
      </c>
      <c r="E45" s="5"/>
      <c r="F45" s="50">
        <v>1224933</v>
      </c>
      <c r="G45" s="11">
        <f t="shared" si="1"/>
        <v>0.10535103293092198</v>
      </c>
      <c r="H45" s="10">
        <f>SUM(G45*Total!$B$13)</f>
        <v>8461741636.3187838</v>
      </c>
      <c r="I45" s="13"/>
      <c r="J45" s="10">
        <f t="shared" si="2"/>
        <v>20581308950.913963</v>
      </c>
      <c r="K45" s="5"/>
      <c r="L45" s="10">
        <f t="shared" si="3"/>
        <v>17494112608.276867</v>
      </c>
      <c r="M45" s="10">
        <f t="shared" si="4"/>
        <v>2675570163.6188154</v>
      </c>
      <c r="N45" s="10">
        <f t="shared" si="5"/>
        <v>411626179.01827925</v>
      </c>
    </row>
    <row r="46" spans="1:14" x14ac:dyDescent="0.2">
      <c r="A46" s="3" t="s">
        <v>51</v>
      </c>
      <c r="B46" s="8">
        <v>1039009</v>
      </c>
      <c r="C46" s="9">
        <f t="shared" si="0"/>
        <v>1.2203018796338477E-2</v>
      </c>
      <c r="D46" s="10">
        <f>SUM(Total!$B$12*'State Allocation'!C46)</f>
        <v>1533039944.763623</v>
      </c>
      <c r="E46" s="5"/>
      <c r="F46" s="50">
        <v>87521</v>
      </c>
      <c r="G46" s="11">
        <f t="shared" si="1"/>
        <v>7.5272914952468602E-3</v>
      </c>
      <c r="H46" s="10">
        <f>SUM(G46*Total!$B$13)</f>
        <v>604588242.58327293</v>
      </c>
      <c r="I46" s="13"/>
      <c r="J46" s="10">
        <f t="shared" si="2"/>
        <v>2137628187.3468959</v>
      </c>
      <c r="K46" s="5"/>
      <c r="L46" s="10">
        <f t="shared" si="3"/>
        <v>1816983959.2448616</v>
      </c>
      <c r="M46" s="10">
        <f t="shared" si="4"/>
        <v>277891664.35509646</v>
      </c>
      <c r="N46" s="10">
        <f t="shared" si="5"/>
        <v>42752563.746937923</v>
      </c>
    </row>
    <row r="47" spans="1:14" x14ac:dyDescent="0.2">
      <c r="A47" s="3" t="s">
        <v>52</v>
      </c>
      <c r="B47" s="8">
        <v>151665</v>
      </c>
      <c r="C47" s="9">
        <f t="shared" si="0"/>
        <v>1.7812847104757277E-3</v>
      </c>
      <c r="D47" s="10">
        <f>SUM(Total!$B$12*'State Allocation'!C47)</f>
        <v>223779104.1488331</v>
      </c>
      <c r="E47" s="5"/>
      <c r="F47" s="50">
        <v>12818</v>
      </c>
      <c r="G47" s="11">
        <f t="shared" si="1"/>
        <v>1.1024191038273587E-3</v>
      </c>
      <c r="H47" s="10">
        <f>SUM(G47*Total!$B$13)</f>
        <v>88545744.374863088</v>
      </c>
      <c r="I47" s="13"/>
      <c r="J47" s="10">
        <f t="shared" si="2"/>
        <v>312324848.52369618</v>
      </c>
      <c r="K47" s="5"/>
      <c r="L47" s="10">
        <f t="shared" si="3"/>
        <v>265476121.24514174</v>
      </c>
      <c r="M47" s="10">
        <f t="shared" si="4"/>
        <v>40602230.308080502</v>
      </c>
      <c r="N47" s="10">
        <f t="shared" si="5"/>
        <v>6246496.9704739237</v>
      </c>
    </row>
    <row r="48" spans="1:14" x14ac:dyDescent="0.2">
      <c r="A48" s="3" t="s">
        <v>53</v>
      </c>
      <c r="B48" s="8">
        <v>2193576</v>
      </c>
      <c r="C48" s="9">
        <f t="shared" si="0"/>
        <v>2.5763250519674971E-2</v>
      </c>
      <c r="D48" s="10">
        <f>SUM(Total!$B$12*'State Allocation'!C48)</f>
        <v>3236583734.957839</v>
      </c>
      <c r="E48" s="5"/>
      <c r="F48" s="50">
        <v>194445</v>
      </c>
      <c r="G48" s="11">
        <f t="shared" si="1"/>
        <v>1.6723348622539456E-2</v>
      </c>
      <c r="H48" s="10">
        <f>SUM(G48*Total!$B$13)</f>
        <v>1343210896.0032964</v>
      </c>
      <c r="I48" s="13"/>
      <c r="J48" s="10">
        <f t="shared" si="2"/>
        <v>4579794630.9611359</v>
      </c>
      <c r="K48" s="5"/>
      <c r="L48" s="10">
        <f t="shared" si="3"/>
        <v>3892825436.3169656</v>
      </c>
      <c r="M48" s="10">
        <f t="shared" si="4"/>
        <v>595373302.02494764</v>
      </c>
      <c r="N48" s="10">
        <f t="shared" si="5"/>
        <v>91595892.619222715</v>
      </c>
    </row>
    <row r="49" spans="1:14" x14ac:dyDescent="0.2">
      <c r="A49" s="3" t="s">
        <v>54</v>
      </c>
      <c r="B49" s="8">
        <v>1862334</v>
      </c>
      <c r="C49" s="9">
        <f t="shared" si="0"/>
        <v>2.1872858470966299E-2</v>
      </c>
      <c r="D49" s="10">
        <f>SUM(Total!$B$12*'State Allocation'!C49)</f>
        <v>2747841849.7735991</v>
      </c>
      <c r="E49" s="5"/>
      <c r="F49" s="50">
        <v>204119</v>
      </c>
      <c r="G49" s="11">
        <f t="shared" si="1"/>
        <v>1.7555366286014715E-2</v>
      </c>
      <c r="H49" s="10">
        <f>SUM(G49*Total!$B$13)</f>
        <v>1410038133.566288</v>
      </c>
      <c r="I49" s="13"/>
      <c r="J49" s="10">
        <f t="shared" si="2"/>
        <v>4157879983.3398871</v>
      </c>
      <c r="K49" s="5"/>
      <c r="L49" s="10">
        <f t="shared" si="3"/>
        <v>3534197985.8389039</v>
      </c>
      <c r="M49" s="10">
        <f t="shared" si="4"/>
        <v>540524397.83418536</v>
      </c>
      <c r="N49" s="10">
        <f t="shared" si="5"/>
        <v>83157599.666797742</v>
      </c>
    </row>
    <row r="50" spans="1:14" x14ac:dyDescent="0.2">
      <c r="A50" s="3" t="s">
        <v>55</v>
      </c>
      <c r="B50" s="8">
        <v>431129</v>
      </c>
      <c r="C50" s="9">
        <f t="shared" si="0"/>
        <v>5.0635512210641213E-3</v>
      </c>
      <c r="D50" s="10">
        <f>SUM(Total!$B$12*'State Allocation'!C50)</f>
        <v>636123439.10976326</v>
      </c>
      <c r="E50" s="5"/>
      <c r="F50" s="50">
        <v>66808</v>
      </c>
      <c r="G50" s="11">
        <f t="shared" si="1"/>
        <v>5.7458585963877495E-3</v>
      </c>
      <c r="H50" s="10">
        <f>SUM(G50*Total!$B$13)</f>
        <v>461504453.90824252</v>
      </c>
      <c r="I50" s="13"/>
      <c r="J50" s="10">
        <f t="shared" si="2"/>
        <v>1097627893.0180058</v>
      </c>
      <c r="K50" s="5"/>
      <c r="L50" s="10">
        <f t="shared" si="3"/>
        <v>932983709.06530499</v>
      </c>
      <c r="M50" s="10">
        <f t="shared" si="4"/>
        <v>142691626.09234077</v>
      </c>
      <c r="N50" s="10">
        <f t="shared" si="5"/>
        <v>21952557.860360116</v>
      </c>
    </row>
    <row r="51" spans="1:14" x14ac:dyDescent="0.2">
      <c r="A51" s="3" t="s">
        <v>56</v>
      </c>
      <c r="B51" s="8">
        <v>1490895</v>
      </c>
      <c r="C51" s="9">
        <f t="shared" si="0"/>
        <v>1.7510358147395311E-2</v>
      </c>
      <c r="D51" s="10">
        <f>SUM(Total!$B$12*'State Allocation'!C51)</f>
        <v>2199789981.0765467</v>
      </c>
      <c r="E51" s="5"/>
      <c r="F51" s="50">
        <v>161344</v>
      </c>
      <c r="G51" s="11">
        <f t="shared" si="1"/>
        <v>1.3876479005142875E-2</v>
      </c>
      <c r="H51" s="10">
        <f>SUM(G51*Total!$B$13)</f>
        <v>1114551769.4194033</v>
      </c>
      <c r="I51" s="13"/>
      <c r="J51" s="10">
        <f t="shared" si="2"/>
        <v>3314341750.4959497</v>
      </c>
      <c r="K51" s="5"/>
      <c r="L51" s="10">
        <f t="shared" si="3"/>
        <v>2817190487.9215574</v>
      </c>
      <c r="M51" s="10">
        <f t="shared" si="4"/>
        <v>430864427.56447351</v>
      </c>
      <c r="N51" s="10">
        <f t="shared" si="5"/>
        <v>66286835.009918995</v>
      </c>
    </row>
    <row r="52" spans="1:14" x14ac:dyDescent="0.2">
      <c r="A52" s="3" t="s">
        <v>57</v>
      </c>
      <c r="B52" s="8">
        <v>149206</v>
      </c>
      <c r="C52" s="9">
        <f t="shared" si="0"/>
        <v>1.7524040913278701E-3</v>
      </c>
      <c r="D52" s="10">
        <f>SUM(Total!$B$12*'State Allocation'!C52)</f>
        <v>220150891.85791573</v>
      </c>
      <c r="E52" s="5"/>
      <c r="F52" s="50">
        <v>12819</v>
      </c>
      <c r="G52" s="11">
        <f t="shared" si="1"/>
        <v>1.1025051093745445E-3</v>
      </c>
      <c r="H52" s="10">
        <f>SUM(G52*Total!$B$13)</f>
        <v>88552652.296877056</v>
      </c>
      <c r="I52" s="13"/>
      <c r="J52" s="10">
        <f t="shared" si="2"/>
        <v>308703544.15479279</v>
      </c>
      <c r="K52" s="5"/>
      <c r="L52" s="10">
        <f t="shared" si="3"/>
        <v>262398012.53157386</v>
      </c>
      <c r="M52" s="10">
        <f t="shared" si="4"/>
        <v>40131460.740123063</v>
      </c>
      <c r="N52" s="10">
        <f t="shared" si="5"/>
        <v>6174070.8830958558</v>
      </c>
    </row>
    <row r="53" spans="1:14" x14ac:dyDescent="0.2">
      <c r="A53" s="3"/>
      <c r="B53" s="8"/>
      <c r="C53" s="9"/>
      <c r="E53" s="5"/>
      <c r="F53" s="15"/>
      <c r="I53" s="12"/>
      <c r="K53" s="5"/>
    </row>
    <row r="54" spans="1:14" x14ac:dyDescent="0.2">
      <c r="A54" s="3"/>
      <c r="B54" s="8"/>
      <c r="C54" s="9"/>
      <c r="E54" s="5"/>
      <c r="I54" s="12"/>
      <c r="K54" s="5"/>
    </row>
    <row r="55" spans="1:14" x14ac:dyDescent="0.2">
      <c r="A55" s="3" t="s">
        <v>58</v>
      </c>
      <c r="B55" s="8">
        <v>781327</v>
      </c>
      <c r="C55" s="9">
        <f t="shared" ref="C55" si="6">SUM(B55/$B$57)</f>
        <v>9.1765789007474952E-3</v>
      </c>
      <c r="D55" s="10">
        <f>SUM(Total!$B$12*'State Allocation'!C55)</f>
        <v>1152834576.9115834</v>
      </c>
      <c r="E55" s="5"/>
      <c r="F55" s="50">
        <v>343733</v>
      </c>
      <c r="G55" s="11">
        <f t="shared" ref="G55" si="7">SUM(F55/$F$57)</f>
        <v>2.9562944750810539E-2</v>
      </c>
      <c r="H55" s="10">
        <f>SUM(G55*Total!$B$13)</f>
        <v>2374480757.6224699</v>
      </c>
      <c r="I55" s="13"/>
      <c r="J55" s="10">
        <f>SUM(H55+D55)</f>
        <v>3527315334.5340533</v>
      </c>
      <c r="K55" s="5"/>
      <c r="L55" s="10">
        <f t="shared" ref="L55:L57" si="8">SUM(J55*0.85)</f>
        <v>2998218034.3539453</v>
      </c>
      <c r="M55" s="10">
        <f>SUM(J55*0.13)</f>
        <v>458550993.48942697</v>
      </c>
      <c r="N55" s="10">
        <f>SUM(J55*0.02)</f>
        <v>70546306.69068107</v>
      </c>
    </row>
    <row r="56" spans="1:14" x14ac:dyDescent="0.2">
      <c r="E56" s="5"/>
      <c r="F56" s="15"/>
      <c r="I56" s="12"/>
      <c r="K56" s="5"/>
    </row>
    <row r="57" spans="1:14" s="16" customFormat="1" x14ac:dyDescent="0.2">
      <c r="A57" s="24" t="s">
        <v>0</v>
      </c>
      <c r="B57" s="17">
        <f>SUM(B2:B55)</f>
        <v>85143604</v>
      </c>
      <c r="C57" s="18">
        <f>SUM(C2:C55)</f>
        <v>1</v>
      </c>
      <c r="D57" s="19">
        <f>SUM(D2:D55)</f>
        <v>125627926200.00002</v>
      </c>
      <c r="E57" s="20"/>
      <c r="F57" s="49">
        <f>SUM(F2:F55)</f>
        <v>11627157</v>
      </c>
      <c r="G57" s="21"/>
      <c r="H57" s="19">
        <f>SUM(H2:H55)</f>
        <v>80319493799.999985</v>
      </c>
      <c r="I57" s="22"/>
      <c r="J57" s="23">
        <f>SUM(H57+D57)</f>
        <v>205947420000</v>
      </c>
      <c r="K57" s="20"/>
      <c r="L57" s="23">
        <f t="shared" si="8"/>
        <v>175055307000</v>
      </c>
      <c r="M57" s="23">
        <f>SUM(J57*0.13)</f>
        <v>26773164600</v>
      </c>
      <c r="N57" s="23">
        <f>SUM(J57*0.02)</f>
        <v>4118948400</v>
      </c>
    </row>
    <row r="60" spans="1:14" x14ac:dyDescent="0.2">
      <c r="A60" s="48" t="s">
        <v>75</v>
      </c>
      <c r="B60" s="47" t="s">
        <v>76</v>
      </c>
    </row>
    <row r="61" spans="1:14" x14ac:dyDescent="0.2">
      <c r="B61" s="47" t="s">
        <v>78</v>
      </c>
    </row>
  </sheetData>
  <hyperlinks>
    <hyperlink ref="A1" location="A162:U235" display="Reading First State Grants" xr:uid="{9FF9A189-EC3D-9F44-AE82-2B189EC667DF}"/>
    <hyperlink ref="A4" location="A6:U79" display="High School Reform" xr:uid="{571C7FDD-9040-8344-9DD9-8C79B9E30BA3}"/>
    <hyperlink ref="A5" location="A85:U158" display="21st Century Community Learning Centers" xr:uid="{DC491BE1-2BC6-444B-BB63-BDBBF87CCD21}"/>
    <hyperlink ref="A6" location="A162:U235" display="Reading First State Grants" xr:uid="{98E92F0C-1DF4-3143-828D-2CCC43C826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State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2020-09-29T14:53:17Z</dcterms:created>
  <dcterms:modified xsi:type="dcterms:W3CDTF">2020-10-01T17:39:34Z</dcterms:modified>
</cp:coreProperties>
</file>