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aaronreeves/Downloads/"/>
    </mc:Choice>
  </mc:AlternateContent>
  <xr:revisionPtr revIDLastSave="0" documentId="13_ncr:1_{A21F8824-0D8C-4648-8552-C8AA40E7EB22}" xr6:coauthVersionLast="47" xr6:coauthVersionMax="47" xr10:uidLastSave="{00000000-0000-0000-0000-000000000000}"/>
  <workbookProtection workbookAlgorithmName="SHA-512" workbookHashValue="X6KvRXTy2PlNQFEMWq9HwauunqgieamaqYJk8Tpruwn9rfn0ZcuGBgS/vMdUMNugSmA974tNDpZSNAUkQUEVlA==" workbookSaltValue="7T2g4P5j5m8I2JHGOsgiIg==" workbookSpinCount="100000" lockStructure="1"/>
  <bookViews>
    <workbookView xWindow="30240" yWindow="-8660" windowWidth="25600" windowHeight="28300" xr2:uid="{323AC286-D6AF-B74D-8A0C-8FB956C1DD13}"/>
  </bookViews>
  <sheets>
    <sheet name="Cover" sheetId="2" r:id="rId1"/>
    <sheet name="Data" sheetId="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6" i="2"/>
  <c r="E28" i="2"/>
  <c r="C28" i="2"/>
  <c r="B2" i="1"/>
  <c r="C2" i="1" s="1"/>
  <c r="D2" i="1" s="1"/>
  <c r="E2" i="1" s="1"/>
  <c r="F2" i="1" s="1"/>
  <c r="G2" i="1" s="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AJ2" i="1" s="1"/>
  <c r="AK2" i="1" s="1"/>
  <c r="AL2" i="1" s="1"/>
  <c r="AM2" i="1" s="1"/>
  <c r="AN2" i="1" s="1"/>
  <c r="AO2" i="1" s="1"/>
  <c r="AP2" i="1" s="1"/>
  <c r="AQ2" i="1" s="1"/>
  <c r="AR2" i="1" s="1"/>
  <c r="AS2" i="1" s="1"/>
  <c r="AT2" i="1" s="1"/>
  <c r="AU2" i="1" s="1"/>
  <c r="AV2" i="1" s="1"/>
  <c r="AW2" i="1" s="1"/>
  <c r="AX2" i="1" s="1"/>
  <c r="AY2" i="1" s="1"/>
  <c r="AZ2" i="1" s="1"/>
  <c r="BA2" i="1" s="1"/>
  <c r="BB2" i="1" s="1"/>
  <c r="BC2" i="1" s="1"/>
  <c r="BD2" i="1" s="1"/>
  <c r="BE2" i="1" s="1"/>
  <c r="BF2" i="1" s="1"/>
  <c r="BG2" i="1" s="1"/>
  <c r="BH2" i="1" s="1"/>
  <c r="BI2" i="1" s="1"/>
  <c r="BJ2" i="1" s="1"/>
  <c r="BK2" i="1" s="1"/>
  <c r="BL2" i="1" s="1"/>
  <c r="C15" i="2"/>
  <c r="C14" i="2"/>
  <c r="C9" i="2"/>
  <c r="C8" i="2"/>
  <c r="BG54" i="1"/>
  <c r="BH54" i="1" s="1"/>
  <c r="BG40" i="1"/>
  <c r="BL40" i="1" s="1"/>
  <c r="BG38" i="1"/>
  <c r="BH38" i="1" s="1"/>
  <c r="BG25" i="1"/>
  <c r="BL25" i="1" s="1"/>
  <c r="BG20" i="1"/>
  <c r="BH20" i="1" s="1"/>
  <c r="BG14" i="1"/>
  <c r="BH14" i="1" s="1"/>
  <c r="AG57" i="1"/>
  <c r="AG56" i="1"/>
  <c r="AG55" i="1"/>
  <c r="AH54" i="1"/>
  <c r="AG54" i="1"/>
  <c r="AG53" i="1"/>
  <c r="AG52" i="1"/>
  <c r="AG51" i="1"/>
  <c r="AG50" i="1"/>
  <c r="AG49" i="1"/>
  <c r="AG48" i="1"/>
  <c r="AG47" i="1"/>
  <c r="AG46" i="1"/>
  <c r="AH46" i="1" s="1"/>
  <c r="AG45" i="1"/>
  <c r="AG44" i="1"/>
  <c r="AG43" i="1"/>
  <c r="AH43" i="1" s="1"/>
  <c r="AG42" i="1"/>
  <c r="AH42" i="1" s="1"/>
  <c r="AG41" i="1"/>
  <c r="AH41" i="1" s="1"/>
  <c r="AG40" i="1"/>
  <c r="AG39" i="1"/>
  <c r="AH38" i="1"/>
  <c r="AG38" i="1"/>
  <c r="AG37" i="1"/>
  <c r="AG36" i="1"/>
  <c r="AG35" i="1"/>
  <c r="AG34" i="1"/>
  <c r="AH34" i="1" s="1"/>
  <c r="AG33" i="1"/>
  <c r="AH33" i="1" s="1"/>
  <c r="AG32" i="1"/>
  <c r="AG31" i="1"/>
  <c r="AG30" i="1"/>
  <c r="AG29" i="1"/>
  <c r="AG28" i="1"/>
  <c r="AG27" i="1"/>
  <c r="AH27" i="1" s="1"/>
  <c r="AG26" i="1"/>
  <c r="AH26" i="1" s="1"/>
  <c r="AG25" i="1"/>
  <c r="AG24" i="1"/>
  <c r="AG23" i="1"/>
  <c r="AG22" i="1"/>
  <c r="AG21" i="1"/>
  <c r="AG20" i="1"/>
  <c r="AG19" i="1"/>
  <c r="AH19" i="1" s="1"/>
  <c r="AG18" i="1"/>
  <c r="AH18" i="1" s="1"/>
  <c r="AG17" i="1"/>
  <c r="AG16" i="1"/>
  <c r="AG15" i="1"/>
  <c r="AG14" i="1"/>
  <c r="AH14" i="1" s="1"/>
  <c r="AG13" i="1"/>
  <c r="AG12" i="1"/>
  <c r="AG11" i="1"/>
  <c r="AH11" i="1" s="1"/>
  <c r="AG10" i="1"/>
  <c r="AH10" i="1" s="1"/>
  <c r="AG9" i="1"/>
  <c r="AG8" i="1"/>
  <c r="AG7" i="1"/>
  <c r="AG6" i="1"/>
  <c r="AH6" i="1" s="1"/>
  <c r="AA57" i="1"/>
  <c r="AA56" i="1"/>
  <c r="AS56" i="1" s="1"/>
  <c r="AA55" i="1"/>
  <c r="AS55" i="1" s="1"/>
  <c r="AA54" i="1"/>
  <c r="AS54" i="1" s="1"/>
  <c r="AA53" i="1"/>
  <c r="AS53" i="1" s="1"/>
  <c r="AA52" i="1"/>
  <c r="AS52" i="1" s="1"/>
  <c r="AA51" i="1"/>
  <c r="AS51" i="1" s="1"/>
  <c r="AA50" i="1"/>
  <c r="AS50" i="1" s="1"/>
  <c r="AA49" i="1"/>
  <c r="AA48" i="1"/>
  <c r="AS48" i="1" s="1"/>
  <c r="AA47" i="1"/>
  <c r="AS47" i="1" s="1"/>
  <c r="AA46" i="1"/>
  <c r="AA45" i="1"/>
  <c r="AS45" i="1" s="1"/>
  <c r="AA44" i="1"/>
  <c r="AS44" i="1" s="1"/>
  <c r="AA43" i="1"/>
  <c r="AS43" i="1" s="1"/>
  <c r="AA42" i="1"/>
  <c r="AS42" i="1" s="1"/>
  <c r="AA41" i="1"/>
  <c r="AA40" i="1"/>
  <c r="AA39" i="1"/>
  <c r="AA38" i="1"/>
  <c r="AS38" i="1" s="1"/>
  <c r="AA37" i="1"/>
  <c r="AS37" i="1" s="1"/>
  <c r="AA36" i="1"/>
  <c r="AS36" i="1" s="1"/>
  <c r="AA35" i="1"/>
  <c r="AS35" i="1" s="1"/>
  <c r="AA34" i="1"/>
  <c r="AS34" i="1" s="1"/>
  <c r="AA33" i="1"/>
  <c r="AS33" i="1" s="1"/>
  <c r="AA32" i="1"/>
  <c r="AS32" i="1" s="1"/>
  <c r="AA31" i="1"/>
  <c r="AS31" i="1" s="1"/>
  <c r="AA30" i="1"/>
  <c r="AS30" i="1" s="1"/>
  <c r="AA29" i="1"/>
  <c r="AS29" i="1" s="1"/>
  <c r="AA28" i="1"/>
  <c r="AS28" i="1" s="1"/>
  <c r="AA27" i="1"/>
  <c r="AS27" i="1" s="1"/>
  <c r="AA26" i="1"/>
  <c r="AS26" i="1" s="1"/>
  <c r="AA25" i="1"/>
  <c r="AS25" i="1" s="1"/>
  <c r="AA24" i="1"/>
  <c r="AS24" i="1" s="1"/>
  <c r="AA23" i="1"/>
  <c r="AS23" i="1" s="1"/>
  <c r="AA22" i="1"/>
  <c r="AS22" i="1" s="1"/>
  <c r="AA21" i="1"/>
  <c r="AS21" i="1" s="1"/>
  <c r="AA20" i="1"/>
  <c r="AS20" i="1" s="1"/>
  <c r="AA19" i="1"/>
  <c r="AS19" i="1" s="1"/>
  <c r="AA18" i="1"/>
  <c r="AS18" i="1" s="1"/>
  <c r="AA17" i="1"/>
  <c r="AA16" i="1"/>
  <c r="AA15" i="1"/>
  <c r="AA14" i="1"/>
  <c r="AS14" i="1" s="1"/>
  <c r="AA13" i="1"/>
  <c r="AS13" i="1" s="1"/>
  <c r="AA12" i="1"/>
  <c r="AS12" i="1" s="1"/>
  <c r="AA11" i="1"/>
  <c r="AS11" i="1" s="1"/>
  <c r="AA10" i="1"/>
  <c r="AS10" i="1" s="1"/>
  <c r="AA9" i="1"/>
  <c r="AS9" i="1" s="1"/>
  <c r="AA8" i="1"/>
  <c r="AS8" i="1" s="1"/>
  <c r="AA7" i="1"/>
  <c r="AS7" i="1" s="1"/>
  <c r="AA6" i="1"/>
  <c r="AS6" i="1" s="1"/>
  <c r="BE56" i="1"/>
  <c r="BE55" i="1"/>
  <c r="BG55" i="1" s="1"/>
  <c r="BE54" i="1"/>
  <c r="BE53" i="1"/>
  <c r="BG53" i="1" s="1"/>
  <c r="BL53" i="1" s="1"/>
  <c r="BE52" i="1"/>
  <c r="BG52" i="1" s="1"/>
  <c r="BE51" i="1"/>
  <c r="BG51" i="1" s="1"/>
  <c r="BL51" i="1" s="1"/>
  <c r="BE50" i="1"/>
  <c r="BG50" i="1" s="1"/>
  <c r="BE49" i="1"/>
  <c r="BG49" i="1" s="1"/>
  <c r="BE48" i="1"/>
  <c r="BG48" i="1" s="1"/>
  <c r="BE47" i="1"/>
  <c r="BG47" i="1" s="1"/>
  <c r="BE46" i="1"/>
  <c r="BE45" i="1"/>
  <c r="BG45" i="1" s="1"/>
  <c r="BL45" i="1" s="1"/>
  <c r="BE44" i="1"/>
  <c r="BG44" i="1" s="1"/>
  <c r="BE43" i="1"/>
  <c r="BG43" i="1" s="1"/>
  <c r="BL43" i="1" s="1"/>
  <c r="BE42" i="1"/>
  <c r="BG42" i="1" s="1"/>
  <c r="BE41" i="1"/>
  <c r="BE40" i="1"/>
  <c r="BE39" i="1"/>
  <c r="BG39" i="1" s="1"/>
  <c r="BE38" i="1"/>
  <c r="BE37" i="1"/>
  <c r="BG37" i="1" s="1"/>
  <c r="BL37" i="1" s="1"/>
  <c r="BE36" i="1"/>
  <c r="BG36" i="1" s="1"/>
  <c r="BE35" i="1"/>
  <c r="BG35" i="1" s="1"/>
  <c r="BL35" i="1" s="1"/>
  <c r="BE34" i="1"/>
  <c r="BG34" i="1" s="1"/>
  <c r="BE33" i="1"/>
  <c r="BG33" i="1" s="1"/>
  <c r="BE32" i="1"/>
  <c r="BG32" i="1" s="1"/>
  <c r="BE31" i="1"/>
  <c r="BE30" i="1"/>
  <c r="BG30" i="1" s="1"/>
  <c r="BE29" i="1"/>
  <c r="BG29" i="1" s="1"/>
  <c r="BL29" i="1" s="1"/>
  <c r="BE28" i="1"/>
  <c r="BG28" i="1" s="1"/>
  <c r="BE27" i="1"/>
  <c r="BG27" i="1" s="1"/>
  <c r="BL27" i="1" s="1"/>
  <c r="BE26" i="1"/>
  <c r="BG26" i="1" s="1"/>
  <c r="BE25" i="1"/>
  <c r="BE24" i="1"/>
  <c r="BG24" i="1" s="1"/>
  <c r="BE23" i="1"/>
  <c r="BG23" i="1" s="1"/>
  <c r="BE22" i="1"/>
  <c r="BG22" i="1" s="1"/>
  <c r="BE21" i="1"/>
  <c r="BG21" i="1" s="1"/>
  <c r="BL21" i="1" s="1"/>
  <c r="BE20" i="1"/>
  <c r="BE19" i="1"/>
  <c r="BG19" i="1" s="1"/>
  <c r="BL19" i="1" s="1"/>
  <c r="BE18" i="1"/>
  <c r="BG18" i="1" s="1"/>
  <c r="BE17" i="1"/>
  <c r="BG17" i="1" s="1"/>
  <c r="BE16" i="1"/>
  <c r="BE15" i="1"/>
  <c r="BG15" i="1" s="1"/>
  <c r="BE14" i="1"/>
  <c r="BE13" i="1"/>
  <c r="BG13" i="1" s="1"/>
  <c r="BL13" i="1" s="1"/>
  <c r="BE12" i="1"/>
  <c r="BG12" i="1" s="1"/>
  <c r="BE11" i="1"/>
  <c r="BG11" i="1" s="1"/>
  <c r="BL11" i="1" s="1"/>
  <c r="BE10" i="1"/>
  <c r="BG10" i="1" s="1"/>
  <c r="BE9" i="1"/>
  <c r="BG9" i="1" s="1"/>
  <c r="BE8" i="1"/>
  <c r="BG8" i="1" s="1"/>
  <c r="BE7" i="1"/>
  <c r="BG7" i="1" s="1"/>
  <c r="BE6" i="1"/>
  <c r="BG6" i="1" s="1"/>
  <c r="AQ56" i="1"/>
  <c r="AQ55" i="1"/>
  <c r="AQ54" i="1"/>
  <c r="AQ53" i="1"/>
  <c r="AQ52" i="1"/>
  <c r="AQ51" i="1"/>
  <c r="AQ50" i="1"/>
  <c r="AQ49" i="1"/>
  <c r="AQ48" i="1"/>
  <c r="AQ47" i="1"/>
  <c r="AQ46" i="1"/>
  <c r="AQ45" i="1"/>
  <c r="AQ44" i="1"/>
  <c r="AQ43" i="1"/>
  <c r="AQ42" i="1"/>
  <c r="AQ41" i="1"/>
  <c r="AQ40" i="1"/>
  <c r="AQ39" i="1"/>
  <c r="AQ38" i="1"/>
  <c r="AQ37" i="1"/>
  <c r="AQ36" i="1"/>
  <c r="AQ35" i="1"/>
  <c r="AQ34" i="1"/>
  <c r="AQ33" i="1"/>
  <c r="AQ32" i="1"/>
  <c r="AQ31" i="1"/>
  <c r="AQ30" i="1"/>
  <c r="AQ29" i="1"/>
  <c r="AQ28" i="1"/>
  <c r="AQ27" i="1"/>
  <c r="AQ26" i="1"/>
  <c r="AQ25" i="1"/>
  <c r="AQ24" i="1"/>
  <c r="AQ23" i="1"/>
  <c r="AQ22" i="1"/>
  <c r="AQ21" i="1"/>
  <c r="AQ20" i="1"/>
  <c r="AQ19" i="1"/>
  <c r="AQ18" i="1"/>
  <c r="AQ17" i="1"/>
  <c r="AQ16" i="1"/>
  <c r="AQ15" i="1"/>
  <c r="AQ14" i="1"/>
  <c r="AQ13" i="1"/>
  <c r="AQ12" i="1"/>
  <c r="AQ11" i="1"/>
  <c r="AQ10" i="1"/>
  <c r="AQ9" i="1"/>
  <c r="AQ8" i="1"/>
  <c r="AQ7" i="1"/>
  <c r="AQ6" i="1"/>
  <c r="C25" i="2"/>
  <c r="C19" i="2"/>
  <c r="C1" i="1"/>
  <c r="D1" i="1" s="1"/>
  <c r="E1" i="1" s="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I1" i="1" s="1"/>
  <c r="AJ1" i="1" s="1"/>
  <c r="AK1" i="1" s="1"/>
  <c r="AL1" i="1" s="1"/>
  <c r="AM1" i="1" s="1"/>
  <c r="AN1" i="1" s="1"/>
  <c r="AO1" i="1" s="1"/>
  <c r="AP1" i="1" s="1"/>
  <c r="AR1" i="1" s="1"/>
  <c r="AS1" i="1" s="1"/>
  <c r="AT1" i="1" s="1"/>
  <c r="AU1" i="1" s="1"/>
  <c r="AV1" i="1" s="1"/>
  <c r="AW1" i="1" s="1"/>
  <c r="AX1" i="1" s="1"/>
  <c r="AY1" i="1" s="1"/>
  <c r="AZ1" i="1" s="1"/>
  <c r="BA1" i="1" s="1"/>
  <c r="BB1" i="1" s="1"/>
  <c r="BC1" i="1" s="1"/>
  <c r="BD1" i="1" s="1"/>
  <c r="BF1" i="1" s="1"/>
  <c r="BG1" i="1" s="1"/>
  <c r="BH1" i="1" s="1"/>
  <c r="BI1" i="1" s="1"/>
  <c r="BK1" i="1" s="1"/>
  <c r="BL1" i="1" s="1"/>
  <c r="BI54" i="1"/>
  <c r="BL20" i="1"/>
  <c r="BK20" i="1"/>
  <c r="AC57" i="1"/>
  <c r="AC56" i="1"/>
  <c r="AC55" i="1"/>
  <c r="AC54" i="1"/>
  <c r="AC53" i="1"/>
  <c r="AC52" i="1"/>
  <c r="AC51" i="1"/>
  <c r="AC50" i="1"/>
  <c r="AC49" i="1"/>
  <c r="AC48" i="1"/>
  <c r="AC47" i="1"/>
  <c r="AC46" i="1"/>
  <c r="AC45" i="1"/>
  <c r="AC44" i="1"/>
  <c r="AC43" i="1"/>
  <c r="AC42" i="1"/>
  <c r="AC41" i="1"/>
  <c r="AD41" i="1" s="1"/>
  <c r="AC40" i="1"/>
  <c r="AC39" i="1"/>
  <c r="AC38" i="1"/>
  <c r="AC37" i="1"/>
  <c r="AC36" i="1"/>
  <c r="AC35" i="1"/>
  <c r="AC34" i="1"/>
  <c r="AC33" i="1"/>
  <c r="AD33" i="1" s="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C6" i="1"/>
  <c r="C21" i="2" s="1"/>
  <c r="AZ56" i="1"/>
  <c r="BB56" i="1" s="1"/>
  <c r="AZ55" i="1"/>
  <c r="BB55" i="1" s="1"/>
  <c r="AZ54" i="1"/>
  <c r="BB54" i="1" s="1"/>
  <c r="AZ53" i="1"/>
  <c r="BB53" i="1" s="1"/>
  <c r="AZ52" i="1"/>
  <c r="BB52" i="1" s="1"/>
  <c r="AZ51" i="1"/>
  <c r="BB51" i="1" s="1"/>
  <c r="AZ50" i="1"/>
  <c r="BB50" i="1" s="1"/>
  <c r="AZ49" i="1"/>
  <c r="BB49" i="1" s="1"/>
  <c r="AZ48" i="1"/>
  <c r="BB48" i="1" s="1"/>
  <c r="AZ47" i="1"/>
  <c r="BB47" i="1" s="1"/>
  <c r="AZ46" i="1"/>
  <c r="BA46" i="1" s="1"/>
  <c r="AZ45" i="1"/>
  <c r="BB45" i="1" s="1"/>
  <c r="AZ44" i="1"/>
  <c r="BB44" i="1" s="1"/>
  <c r="AZ43" i="1"/>
  <c r="BB43" i="1" s="1"/>
  <c r="AZ42" i="1"/>
  <c r="BB42" i="1" s="1"/>
  <c r="AZ41" i="1"/>
  <c r="BB41" i="1" s="1"/>
  <c r="AZ40" i="1"/>
  <c r="BB40" i="1" s="1"/>
  <c r="AZ39" i="1"/>
  <c r="BB39" i="1" s="1"/>
  <c r="AZ38" i="1"/>
  <c r="BB38" i="1" s="1"/>
  <c r="AZ37" i="1"/>
  <c r="BB37" i="1" s="1"/>
  <c r="AZ36" i="1"/>
  <c r="BB36" i="1" s="1"/>
  <c r="AZ35" i="1"/>
  <c r="BA35" i="1" s="1"/>
  <c r="AZ34" i="1"/>
  <c r="BB34" i="1" s="1"/>
  <c r="AZ33" i="1"/>
  <c r="BB33" i="1" s="1"/>
  <c r="AZ32" i="1"/>
  <c r="BB32" i="1" s="1"/>
  <c r="AZ31" i="1"/>
  <c r="BA31" i="1" s="1"/>
  <c r="AZ30" i="1"/>
  <c r="BA30" i="1" s="1"/>
  <c r="AZ29" i="1"/>
  <c r="BB29" i="1" s="1"/>
  <c r="AZ28" i="1"/>
  <c r="BA28" i="1" s="1"/>
  <c r="AZ27" i="1"/>
  <c r="BA27" i="1" s="1"/>
  <c r="AZ26" i="1"/>
  <c r="BB26" i="1" s="1"/>
  <c r="AZ25" i="1"/>
  <c r="BB25" i="1" s="1"/>
  <c r="AZ24" i="1"/>
  <c r="BB24" i="1" s="1"/>
  <c r="AZ23" i="1"/>
  <c r="BA23" i="1" s="1"/>
  <c r="AZ22" i="1"/>
  <c r="BB22" i="1" s="1"/>
  <c r="AZ21" i="1"/>
  <c r="BB21" i="1" s="1"/>
  <c r="AZ20" i="1"/>
  <c r="BB20" i="1" s="1"/>
  <c r="AZ19" i="1"/>
  <c r="BA19" i="1" s="1"/>
  <c r="AZ18" i="1"/>
  <c r="BB18" i="1" s="1"/>
  <c r="AZ17" i="1"/>
  <c r="BB17" i="1" s="1"/>
  <c r="AZ16" i="1"/>
  <c r="BB16" i="1" s="1"/>
  <c r="AZ15" i="1"/>
  <c r="BB15" i="1" s="1"/>
  <c r="AZ14" i="1"/>
  <c r="BB14" i="1" s="1"/>
  <c r="AZ13" i="1"/>
  <c r="BB13" i="1" s="1"/>
  <c r="AZ12" i="1"/>
  <c r="BB12" i="1" s="1"/>
  <c r="AZ11" i="1"/>
  <c r="BA11" i="1" s="1"/>
  <c r="AZ10" i="1"/>
  <c r="BB10" i="1" s="1"/>
  <c r="AZ9" i="1"/>
  <c r="BB9" i="1" s="1"/>
  <c r="AZ8" i="1"/>
  <c r="BB8" i="1" s="1"/>
  <c r="AZ7" i="1"/>
  <c r="BA7" i="1" s="1"/>
  <c r="AZ6" i="1"/>
  <c r="BB6" i="1" s="1"/>
  <c r="D9" i="2" s="1"/>
  <c r="AU56" i="1"/>
  <c r="AW56" i="1" s="1"/>
  <c r="AU55" i="1"/>
  <c r="AW55" i="1" s="1"/>
  <c r="AU54" i="1"/>
  <c r="AW54" i="1" s="1"/>
  <c r="AU53" i="1"/>
  <c r="AV53" i="1" s="1"/>
  <c r="AU52" i="1"/>
  <c r="AW52" i="1" s="1"/>
  <c r="AU51" i="1"/>
  <c r="AW51" i="1" s="1"/>
  <c r="AU50" i="1"/>
  <c r="AV50" i="1" s="1"/>
  <c r="AU49" i="1"/>
  <c r="AW49" i="1" s="1"/>
  <c r="AU48" i="1"/>
  <c r="AW48" i="1" s="1"/>
  <c r="AU47" i="1"/>
  <c r="AV47" i="1" s="1"/>
  <c r="AU46" i="1"/>
  <c r="AW46" i="1" s="1"/>
  <c r="AU45" i="1"/>
  <c r="AW45" i="1" s="1"/>
  <c r="AU44" i="1"/>
  <c r="AV44" i="1" s="1"/>
  <c r="AU43" i="1"/>
  <c r="AV43" i="1" s="1"/>
  <c r="AU42" i="1"/>
  <c r="AW42" i="1" s="1"/>
  <c r="AU41" i="1"/>
  <c r="AW41" i="1" s="1"/>
  <c r="AU40" i="1"/>
  <c r="AV40" i="1" s="1"/>
  <c r="AU39" i="1"/>
  <c r="AW39" i="1" s="1"/>
  <c r="AU38" i="1"/>
  <c r="AV38" i="1" s="1"/>
  <c r="AU37" i="1"/>
  <c r="AW37" i="1" s="1"/>
  <c r="AU36" i="1"/>
  <c r="AW36" i="1" s="1"/>
  <c r="AU35" i="1"/>
  <c r="AV35" i="1" s="1"/>
  <c r="AU34" i="1"/>
  <c r="AW34" i="1" s="1"/>
  <c r="AU33" i="1"/>
  <c r="AW33" i="1" s="1"/>
  <c r="AU32" i="1"/>
  <c r="AV32" i="1" s="1"/>
  <c r="AU31" i="1"/>
  <c r="AW31" i="1" s="1"/>
  <c r="AU30" i="1"/>
  <c r="AW30" i="1" s="1"/>
  <c r="AU29" i="1"/>
  <c r="AW29" i="1" s="1"/>
  <c r="AU28" i="1"/>
  <c r="AW28" i="1" s="1"/>
  <c r="AU27" i="1"/>
  <c r="AW27" i="1" s="1"/>
  <c r="AU26" i="1"/>
  <c r="AV26" i="1" s="1"/>
  <c r="AU25" i="1"/>
  <c r="AW25" i="1" s="1"/>
  <c r="AU24" i="1"/>
  <c r="AW24" i="1" s="1"/>
  <c r="AU23" i="1"/>
  <c r="AW23" i="1" s="1"/>
  <c r="AU22" i="1"/>
  <c r="AW22" i="1" s="1"/>
  <c r="AU21" i="1"/>
  <c r="AW21" i="1" s="1"/>
  <c r="AU20" i="1"/>
  <c r="AW20" i="1" s="1"/>
  <c r="AU19" i="1"/>
  <c r="AW19" i="1" s="1"/>
  <c r="AU18" i="1"/>
  <c r="AV18" i="1" s="1"/>
  <c r="AU17" i="1"/>
  <c r="AW17" i="1" s="1"/>
  <c r="AU16" i="1"/>
  <c r="AW16" i="1" s="1"/>
  <c r="AU15" i="1"/>
  <c r="AW15" i="1" s="1"/>
  <c r="AU14" i="1"/>
  <c r="AW14" i="1" s="1"/>
  <c r="AU13" i="1"/>
  <c r="AW13" i="1" s="1"/>
  <c r="AU12" i="1"/>
  <c r="AV12" i="1" s="1"/>
  <c r="AU11" i="1"/>
  <c r="AV11" i="1" s="1"/>
  <c r="AU10" i="1"/>
  <c r="AW10" i="1" s="1"/>
  <c r="AU9" i="1"/>
  <c r="AV9" i="1" s="1"/>
  <c r="AU8" i="1"/>
  <c r="AV8" i="1" s="1"/>
  <c r="AU7" i="1"/>
  <c r="AW7" i="1" s="1"/>
  <c r="AU6" i="1"/>
  <c r="AW6" i="1" s="1"/>
  <c r="AS49" i="1"/>
  <c r="AS46" i="1"/>
  <c r="AS41" i="1"/>
  <c r="AS40" i="1"/>
  <c r="AS39" i="1"/>
  <c r="AS17" i="1"/>
  <c r="AS16" i="1"/>
  <c r="AS15" i="1"/>
  <c r="AP57" i="1"/>
  <c r="AO57" i="1"/>
  <c r="E9" i="2" s="1"/>
  <c r="AN57" i="1"/>
  <c r="AL57" i="1"/>
  <c r="AK57" i="1"/>
  <c r="E8" i="2" s="1"/>
  <c r="AJ57" i="1"/>
  <c r="AI57" i="1"/>
  <c r="E14" i="2" s="1"/>
  <c r="AE57" i="1"/>
  <c r="AF57" i="1" s="1"/>
  <c r="F22" i="2" s="1"/>
  <c r="AE56" i="1"/>
  <c r="AE55" i="1"/>
  <c r="AE54" i="1"/>
  <c r="AE53" i="1"/>
  <c r="AE52" i="1"/>
  <c r="AE51" i="1"/>
  <c r="AE50" i="1"/>
  <c r="AF50" i="1" s="1"/>
  <c r="AE49" i="1"/>
  <c r="AF49" i="1" s="1"/>
  <c r="AE48" i="1"/>
  <c r="AE47" i="1"/>
  <c r="AE46" i="1"/>
  <c r="AE45" i="1"/>
  <c r="AE44" i="1"/>
  <c r="AE43" i="1"/>
  <c r="AE42" i="1"/>
  <c r="AE41" i="1"/>
  <c r="AE40" i="1"/>
  <c r="AE39" i="1"/>
  <c r="AE38" i="1"/>
  <c r="AE37" i="1"/>
  <c r="AE36" i="1"/>
  <c r="AE35" i="1"/>
  <c r="AE34" i="1"/>
  <c r="AE33" i="1"/>
  <c r="AF33" i="1" s="1"/>
  <c r="AE32" i="1"/>
  <c r="AE31" i="1"/>
  <c r="AE30" i="1"/>
  <c r="AE29" i="1"/>
  <c r="AE28" i="1"/>
  <c r="AE27" i="1"/>
  <c r="AE26" i="1"/>
  <c r="AE25" i="1"/>
  <c r="AE24" i="1"/>
  <c r="AE23" i="1"/>
  <c r="AE22" i="1"/>
  <c r="AE21" i="1"/>
  <c r="AE20" i="1"/>
  <c r="AE19" i="1"/>
  <c r="AE18" i="1"/>
  <c r="AE17" i="1"/>
  <c r="AF17" i="1" s="1"/>
  <c r="AE16" i="1"/>
  <c r="AE15" i="1"/>
  <c r="AE14" i="1"/>
  <c r="AE13" i="1"/>
  <c r="AE12" i="1"/>
  <c r="AE11" i="1"/>
  <c r="AE10" i="1"/>
  <c r="AE9" i="1"/>
  <c r="AF9" i="1" s="1"/>
  <c r="AE8" i="1"/>
  <c r="AE7" i="1"/>
  <c r="AE6" i="1"/>
  <c r="AF6" i="1" s="1"/>
  <c r="D22" i="2" s="1"/>
  <c r="BL10" i="1" l="1"/>
  <c r="BK10" i="1"/>
  <c r="BL18" i="1"/>
  <c r="BH18" i="1"/>
  <c r="BH34" i="1"/>
  <c r="BI34" i="1"/>
  <c r="BL34" i="1"/>
  <c r="BK34" i="1"/>
  <c r="BL50" i="1"/>
  <c r="BK50" i="1"/>
  <c r="BH44" i="1"/>
  <c r="BL44" i="1"/>
  <c r="BI44" i="1"/>
  <c r="BH30" i="1"/>
  <c r="BK30" i="1"/>
  <c r="BL15" i="1"/>
  <c r="BK15" i="1"/>
  <c r="BL55" i="1"/>
  <c r="BK55" i="1"/>
  <c r="BH28" i="1"/>
  <c r="BK28" i="1"/>
  <c r="BL48" i="1"/>
  <c r="BH48" i="1"/>
  <c r="BK48" i="1"/>
  <c r="BL8" i="1"/>
  <c r="BH8" i="1"/>
  <c r="BH24" i="1"/>
  <c r="BL24" i="1"/>
  <c r="BK24" i="1"/>
  <c r="BI24" i="1"/>
  <c r="AH49" i="1"/>
  <c r="AH56" i="1"/>
  <c r="AF7" i="1"/>
  <c r="AF23" i="1"/>
  <c r="AF39" i="1"/>
  <c r="AF47" i="1"/>
  <c r="AF55" i="1"/>
  <c r="BI14" i="1"/>
  <c r="BK38" i="1"/>
  <c r="BK54" i="1"/>
  <c r="AH13" i="1"/>
  <c r="AH50" i="1"/>
  <c r="AF8" i="1"/>
  <c r="AF16" i="1"/>
  <c r="AF24" i="1"/>
  <c r="AF40" i="1"/>
  <c r="AF48" i="1"/>
  <c r="AF56" i="1"/>
  <c r="BK14" i="1"/>
  <c r="BK40" i="1"/>
  <c r="BL54" i="1"/>
  <c r="AH21" i="1"/>
  <c r="AH29" i="1"/>
  <c r="AH44" i="1"/>
  <c r="AH51" i="1"/>
  <c r="BL14" i="1"/>
  <c r="BK25" i="1"/>
  <c r="AD23" i="1"/>
  <c r="AD31" i="1"/>
  <c r="AH8" i="1"/>
  <c r="AH23" i="1"/>
  <c r="AH31" i="1"/>
  <c r="AH53" i="1"/>
  <c r="AD8" i="1"/>
  <c r="AD16" i="1"/>
  <c r="AD24" i="1"/>
  <c r="AD32" i="1"/>
  <c r="AD48" i="1"/>
  <c r="AD56" i="1"/>
  <c r="AH9" i="1"/>
  <c r="AH16" i="1"/>
  <c r="AH24" i="1"/>
  <c r="AH39" i="1"/>
  <c r="AH48" i="1"/>
  <c r="BI6" i="1"/>
  <c r="BL6" i="1"/>
  <c r="BK6" i="1"/>
  <c r="D28" i="2" s="1"/>
  <c r="BH6" i="1"/>
  <c r="BL9" i="1"/>
  <c r="BK9" i="1"/>
  <c r="BI9" i="1"/>
  <c r="BH9" i="1"/>
  <c r="BL39" i="1"/>
  <c r="BK39" i="1"/>
  <c r="BI39" i="1"/>
  <c r="BH39" i="1"/>
  <c r="BL49" i="1"/>
  <c r="BK49" i="1"/>
  <c r="BI49" i="1"/>
  <c r="BH49" i="1"/>
  <c r="BL7" i="1"/>
  <c r="BK7" i="1"/>
  <c r="BI7" i="1"/>
  <c r="BH7" i="1"/>
  <c r="BH36" i="1"/>
  <c r="BL36" i="1"/>
  <c r="BK36" i="1"/>
  <c r="BI36" i="1"/>
  <c r="BL17" i="1"/>
  <c r="BK17" i="1"/>
  <c r="BI17" i="1"/>
  <c r="BH17" i="1"/>
  <c r="BJ12" i="1"/>
  <c r="BK12" i="1"/>
  <c r="BL12" i="1"/>
  <c r="BI12" i="1"/>
  <c r="BH22" i="1"/>
  <c r="BL22" i="1"/>
  <c r="BK22" i="1"/>
  <c r="BI22" i="1"/>
  <c r="BL32" i="1"/>
  <c r="BK32" i="1"/>
  <c r="BI32" i="1"/>
  <c r="BH32" i="1"/>
  <c r="BL42" i="1"/>
  <c r="BK42" i="1"/>
  <c r="BI42" i="1"/>
  <c r="BH42" i="1"/>
  <c r="BH52" i="1"/>
  <c r="BK52" i="1"/>
  <c r="BI52" i="1"/>
  <c r="BL52" i="1"/>
  <c r="BI26" i="1"/>
  <c r="BL26" i="1"/>
  <c r="BK26" i="1"/>
  <c r="BH26" i="1"/>
  <c r="BL47" i="1"/>
  <c r="BK47" i="1"/>
  <c r="BI47" i="1"/>
  <c r="BH47" i="1"/>
  <c r="BL23" i="1"/>
  <c r="BK23" i="1"/>
  <c r="BI23" i="1"/>
  <c r="BH23" i="1"/>
  <c r="BL33" i="1"/>
  <c r="BI33" i="1"/>
  <c r="BK33" i="1"/>
  <c r="BH33" i="1"/>
  <c r="BK18" i="1"/>
  <c r="BJ38" i="1"/>
  <c r="BJ48" i="1"/>
  <c r="AH37" i="1"/>
  <c r="AF32" i="1"/>
  <c r="AS57" i="1"/>
  <c r="AD40" i="1"/>
  <c r="BI20" i="1"/>
  <c r="BJ30" i="1"/>
  <c r="BJ40" i="1"/>
  <c r="AH22" i="1"/>
  <c r="AH30" i="1"/>
  <c r="AH15" i="1"/>
  <c r="AH47" i="1"/>
  <c r="AH55" i="1"/>
  <c r="BI28" i="1"/>
  <c r="BJ22" i="1"/>
  <c r="BJ32" i="1"/>
  <c r="AH32" i="1"/>
  <c r="AH40" i="1"/>
  <c r="AH25" i="1"/>
  <c r="AH57" i="1"/>
  <c r="AF15" i="1"/>
  <c r="AF25" i="1"/>
  <c r="BJ23" i="1"/>
  <c r="BJ33" i="1"/>
  <c r="AH17" i="1"/>
  <c r="BH10" i="1"/>
  <c r="BH15" i="1"/>
  <c r="BH25" i="1"/>
  <c r="BL28" i="1"/>
  <c r="BH40" i="1"/>
  <c r="BH50" i="1"/>
  <c r="BH55" i="1"/>
  <c r="BJ14" i="1"/>
  <c r="BJ24" i="1"/>
  <c r="BJ54" i="1"/>
  <c r="BG16" i="1"/>
  <c r="BG46" i="1"/>
  <c r="BG56" i="1"/>
  <c r="BJ56" i="1" s="1"/>
  <c r="AD15" i="1"/>
  <c r="AD25" i="1"/>
  <c r="AD55" i="1"/>
  <c r="BI10" i="1"/>
  <c r="BI15" i="1"/>
  <c r="BI25" i="1"/>
  <c r="BI30" i="1"/>
  <c r="BI40" i="1"/>
  <c r="BI50" i="1"/>
  <c r="BI55" i="1"/>
  <c r="BJ15" i="1"/>
  <c r="BJ25" i="1"/>
  <c r="BJ55" i="1"/>
  <c r="AH35" i="1"/>
  <c r="AD7" i="1"/>
  <c r="AD17" i="1"/>
  <c r="AD47" i="1"/>
  <c r="AD57" i="1"/>
  <c r="F21" i="2" s="1"/>
  <c r="BI8" i="1"/>
  <c r="BI18" i="1"/>
  <c r="BL30" i="1"/>
  <c r="BI38" i="1"/>
  <c r="BK44" i="1"/>
  <c r="BI48" i="1"/>
  <c r="BJ7" i="1"/>
  <c r="BJ17" i="1"/>
  <c r="BJ47" i="1"/>
  <c r="AH12" i="1"/>
  <c r="AH20" i="1"/>
  <c r="AH28" i="1"/>
  <c r="AH36" i="1"/>
  <c r="AH52" i="1"/>
  <c r="C22" i="2"/>
  <c r="E22" i="2"/>
  <c r="BJ6" i="1"/>
  <c r="D27" i="2" s="1"/>
  <c r="BK8" i="1"/>
  <c r="BJ8" i="1"/>
  <c r="AH45" i="1"/>
  <c r="AF31" i="1"/>
  <c r="AF41" i="1"/>
  <c r="AD9" i="1"/>
  <c r="AD39" i="1"/>
  <c r="AD49" i="1"/>
  <c r="BL38" i="1"/>
  <c r="BJ9" i="1"/>
  <c r="BJ39" i="1"/>
  <c r="BJ49" i="1"/>
  <c r="BG31" i="1"/>
  <c r="BJ31" i="1" s="1"/>
  <c r="BG41" i="1"/>
  <c r="BJ41" i="1" s="1"/>
  <c r="C27" i="2"/>
  <c r="E15" i="2"/>
  <c r="C16" i="2"/>
  <c r="D14" i="2" s="1"/>
  <c r="BH13" i="1"/>
  <c r="BH12" i="1"/>
  <c r="BJ13" i="1"/>
  <c r="BJ21" i="1"/>
  <c r="BJ29" i="1"/>
  <c r="BJ37" i="1"/>
  <c r="BJ45" i="1"/>
  <c r="BJ53" i="1"/>
  <c r="BH21" i="1"/>
  <c r="BH37" i="1"/>
  <c r="BH45" i="1"/>
  <c r="BH51" i="1"/>
  <c r="BI11" i="1"/>
  <c r="BI13" i="1"/>
  <c r="BI19" i="1"/>
  <c r="BI21" i="1"/>
  <c r="BI27" i="1"/>
  <c r="BI29" i="1"/>
  <c r="BI35" i="1"/>
  <c r="BI37" i="1"/>
  <c r="BI43" i="1"/>
  <c r="BI45" i="1"/>
  <c r="BI51" i="1"/>
  <c r="BI53" i="1"/>
  <c r="BJ10" i="1"/>
  <c r="BJ18" i="1"/>
  <c r="BJ26" i="1"/>
  <c r="BJ34" i="1"/>
  <c r="BJ42" i="1"/>
  <c r="BJ50" i="1"/>
  <c r="BH11" i="1"/>
  <c r="BH19" i="1"/>
  <c r="BH29" i="1"/>
  <c r="BH53" i="1"/>
  <c r="BK11" i="1"/>
  <c r="BK13" i="1"/>
  <c r="BK19" i="1"/>
  <c r="BK21" i="1"/>
  <c r="BK27" i="1"/>
  <c r="BK29" i="1"/>
  <c r="BK35" i="1"/>
  <c r="BK37" i="1"/>
  <c r="BK43" i="1"/>
  <c r="BK45" i="1"/>
  <c r="BK51" i="1"/>
  <c r="BK53" i="1"/>
  <c r="BJ11" i="1"/>
  <c r="BJ19" i="1"/>
  <c r="BJ27" i="1"/>
  <c r="BJ35" i="1"/>
  <c r="BJ43" i="1"/>
  <c r="BJ51" i="1"/>
  <c r="BH27" i="1"/>
  <c r="BH35" i="1"/>
  <c r="BH43" i="1"/>
  <c r="BJ20" i="1"/>
  <c r="BJ28" i="1"/>
  <c r="BJ36" i="1"/>
  <c r="BJ44" i="1"/>
  <c r="BJ52" i="1"/>
  <c r="AH7" i="1"/>
  <c r="AD13" i="1"/>
  <c r="AD21" i="1"/>
  <c r="AD29" i="1"/>
  <c r="AD37" i="1"/>
  <c r="AD45" i="1"/>
  <c r="AD53" i="1"/>
  <c r="AF12" i="1"/>
  <c r="AF28" i="1"/>
  <c r="AF44" i="1"/>
  <c r="AD6" i="1"/>
  <c r="D21" i="2" s="1"/>
  <c r="AF20" i="1"/>
  <c r="AF36" i="1"/>
  <c r="AF13" i="1"/>
  <c r="AF21" i="1"/>
  <c r="AF29" i="1"/>
  <c r="AF37" i="1"/>
  <c r="AF45" i="1"/>
  <c r="AF53" i="1"/>
  <c r="AD12" i="1"/>
  <c r="AD20" i="1"/>
  <c r="AD28" i="1"/>
  <c r="AD36" i="1"/>
  <c r="AD44" i="1"/>
  <c r="AD52" i="1"/>
  <c r="BE57" i="1"/>
  <c r="AF10" i="1"/>
  <c r="AF18" i="1"/>
  <c r="AF26" i="1"/>
  <c r="AF34" i="1"/>
  <c r="AF42" i="1"/>
  <c r="AD14" i="1"/>
  <c r="AD22" i="1"/>
  <c r="AD30" i="1"/>
  <c r="AD38" i="1"/>
  <c r="AD46" i="1"/>
  <c r="AD54" i="1"/>
  <c r="AF11" i="1"/>
  <c r="AF19" i="1"/>
  <c r="AF27" i="1"/>
  <c r="AF35" i="1"/>
  <c r="AF43" i="1"/>
  <c r="AF51" i="1"/>
  <c r="AF52" i="1"/>
  <c r="AF14" i="1"/>
  <c r="AF22" i="1"/>
  <c r="AF30" i="1"/>
  <c r="AF38" i="1"/>
  <c r="AF46" i="1"/>
  <c r="AF54" i="1"/>
  <c r="AD10" i="1"/>
  <c r="AD18" i="1"/>
  <c r="AD26" i="1"/>
  <c r="AD34" i="1"/>
  <c r="AD42" i="1"/>
  <c r="AD50" i="1"/>
  <c r="AD11" i="1"/>
  <c r="AD19" i="1"/>
  <c r="AD27" i="1"/>
  <c r="AD35" i="1"/>
  <c r="AD43" i="1"/>
  <c r="AD51" i="1"/>
  <c r="AQ57" i="1"/>
  <c r="E21" i="2"/>
  <c r="BB31" i="1"/>
  <c r="BA44" i="1"/>
  <c r="BB28" i="1"/>
  <c r="BB23" i="1"/>
  <c r="BB11" i="1"/>
  <c r="BA6" i="1"/>
  <c r="D8" i="2" s="1"/>
  <c r="BB19" i="1"/>
  <c r="BA36" i="1"/>
  <c r="BA52" i="1"/>
  <c r="AZ57" i="1"/>
  <c r="BB57" i="1" s="1"/>
  <c r="F9" i="2" s="1"/>
  <c r="BA20" i="1"/>
  <c r="BA12" i="1"/>
  <c r="BB7" i="1"/>
  <c r="BA54" i="1"/>
  <c r="BA43" i="1"/>
  <c r="BB46" i="1"/>
  <c r="BA22" i="1"/>
  <c r="BB30" i="1"/>
  <c r="BB35" i="1"/>
  <c r="BA14" i="1"/>
  <c r="BB27" i="1"/>
  <c r="BA39" i="1"/>
  <c r="BA47" i="1"/>
  <c r="BA15" i="1"/>
  <c r="BA38" i="1"/>
  <c r="BA51" i="1"/>
  <c r="BA9" i="1"/>
  <c r="BA17" i="1"/>
  <c r="BA25" i="1"/>
  <c r="BA33" i="1"/>
  <c r="BA41" i="1"/>
  <c r="BA49" i="1"/>
  <c r="BA55" i="1"/>
  <c r="BA10" i="1"/>
  <c r="BA18" i="1"/>
  <c r="BA26" i="1"/>
  <c r="BA34" i="1"/>
  <c r="BA42" i="1"/>
  <c r="BA50" i="1"/>
  <c r="BA13" i="1"/>
  <c r="BA21" i="1"/>
  <c r="BA29" i="1"/>
  <c r="BA37" i="1"/>
  <c r="BA45" i="1"/>
  <c r="BA53" i="1"/>
  <c r="BA8" i="1"/>
  <c r="BA16" i="1"/>
  <c r="BA24" i="1"/>
  <c r="BA32" i="1"/>
  <c r="BA40" i="1"/>
  <c r="BA48" i="1"/>
  <c r="BA56" i="1"/>
  <c r="AV15" i="1"/>
  <c r="AY15" i="1" s="1"/>
  <c r="AX15" i="1" s="1"/>
  <c r="AV27" i="1"/>
  <c r="AY27" i="1" s="1"/>
  <c r="AX27" i="1" s="1"/>
  <c r="AV30" i="1"/>
  <c r="AY30" i="1" s="1"/>
  <c r="AX30" i="1" s="1"/>
  <c r="AW38" i="1"/>
  <c r="AY38" i="1" s="1"/>
  <c r="AX38" i="1" s="1"/>
  <c r="AW40" i="1"/>
  <c r="AY40" i="1" s="1"/>
  <c r="AX40" i="1" s="1"/>
  <c r="AW47" i="1"/>
  <c r="AY47" i="1" s="1"/>
  <c r="AX47" i="1" s="1"/>
  <c r="AW8" i="1"/>
  <c r="AY8" i="1" s="1"/>
  <c r="AX8" i="1" s="1"/>
  <c r="AV48" i="1"/>
  <c r="AY48" i="1" s="1"/>
  <c r="AX48" i="1" s="1"/>
  <c r="AW50" i="1"/>
  <c r="AY50" i="1" s="1"/>
  <c r="AX50" i="1" s="1"/>
  <c r="AV17" i="1"/>
  <c r="AY17" i="1" s="1"/>
  <c r="AX17" i="1" s="1"/>
  <c r="AV49" i="1"/>
  <c r="AY49" i="1" s="1"/>
  <c r="AX49" i="1" s="1"/>
  <c r="AV16" i="1"/>
  <c r="AY16" i="1" s="1"/>
  <c r="AX16" i="1" s="1"/>
  <c r="AW26" i="1"/>
  <c r="AY26" i="1" s="1"/>
  <c r="AX26" i="1" s="1"/>
  <c r="AV36" i="1"/>
  <c r="AY36" i="1" s="1"/>
  <c r="AX36" i="1" s="1"/>
  <c r="AV19" i="1"/>
  <c r="AY19" i="1" s="1"/>
  <c r="AX19" i="1" s="1"/>
  <c r="AW11" i="1"/>
  <c r="AY11" i="1" s="1"/>
  <c r="AX11" i="1" s="1"/>
  <c r="AV22" i="1"/>
  <c r="AY22" i="1" s="1"/>
  <c r="AX22" i="1" s="1"/>
  <c r="AV33" i="1"/>
  <c r="AY33" i="1" s="1"/>
  <c r="AX33" i="1" s="1"/>
  <c r="AV42" i="1"/>
  <c r="AY42" i="1" s="1"/>
  <c r="AX42" i="1" s="1"/>
  <c r="AV51" i="1"/>
  <c r="AY51" i="1" s="1"/>
  <c r="AX51" i="1" s="1"/>
  <c r="AW9" i="1"/>
  <c r="AY9" i="1" s="1"/>
  <c r="AX9" i="1" s="1"/>
  <c r="AW18" i="1"/>
  <c r="AY18" i="1" s="1"/>
  <c r="AX18" i="1" s="1"/>
  <c r="AV41" i="1"/>
  <c r="AY41" i="1" s="1"/>
  <c r="AX41" i="1" s="1"/>
  <c r="AV10" i="1"/>
  <c r="AY10" i="1" s="1"/>
  <c r="AX10" i="1" s="1"/>
  <c r="AW32" i="1"/>
  <c r="AY32" i="1" s="1"/>
  <c r="AX32" i="1" s="1"/>
  <c r="AV24" i="1"/>
  <c r="AY24" i="1" s="1"/>
  <c r="AX24" i="1" s="1"/>
  <c r="AW43" i="1"/>
  <c r="AY43" i="1" s="1"/>
  <c r="AX43" i="1" s="1"/>
  <c r="AV56" i="1"/>
  <c r="AY56" i="1" s="1"/>
  <c r="AX56" i="1" s="1"/>
  <c r="AW35" i="1"/>
  <c r="AY35" i="1" s="1"/>
  <c r="AX35" i="1" s="1"/>
  <c r="AW53" i="1"/>
  <c r="AY53" i="1" s="1"/>
  <c r="AX53" i="1" s="1"/>
  <c r="AW12" i="1"/>
  <c r="AY12" i="1" s="1"/>
  <c r="AX12" i="1" s="1"/>
  <c r="AV21" i="1"/>
  <c r="AY21" i="1" s="1"/>
  <c r="AX21" i="1" s="1"/>
  <c r="AW44" i="1"/>
  <c r="AY44" i="1" s="1"/>
  <c r="AX44" i="1" s="1"/>
  <c r="AV7" i="1"/>
  <c r="AY7" i="1" s="1"/>
  <c r="AX7" i="1" s="1"/>
  <c r="AV13" i="1"/>
  <c r="AY13" i="1" s="1"/>
  <c r="AX13" i="1" s="1"/>
  <c r="AV39" i="1"/>
  <c r="AY39" i="1" s="1"/>
  <c r="AX39" i="1" s="1"/>
  <c r="AV45" i="1"/>
  <c r="AY45" i="1" s="1"/>
  <c r="AX45" i="1" s="1"/>
  <c r="AV28" i="1"/>
  <c r="AY28" i="1" s="1"/>
  <c r="AX28" i="1" s="1"/>
  <c r="AV54" i="1"/>
  <c r="AY54" i="1" s="1"/>
  <c r="AX54" i="1" s="1"/>
  <c r="AV25" i="1"/>
  <c r="AY25" i="1" s="1"/>
  <c r="AX25" i="1" s="1"/>
  <c r="AV31" i="1"/>
  <c r="AY31" i="1" s="1"/>
  <c r="AX31" i="1" s="1"/>
  <c r="AV37" i="1"/>
  <c r="AY37" i="1" s="1"/>
  <c r="AX37" i="1" s="1"/>
  <c r="AU57" i="1"/>
  <c r="AV14" i="1"/>
  <c r="AY14" i="1" s="1"/>
  <c r="AX14" i="1" s="1"/>
  <c r="AV20" i="1"/>
  <c r="AY20" i="1" s="1"/>
  <c r="AX20" i="1" s="1"/>
  <c r="AV34" i="1"/>
  <c r="AY34" i="1" s="1"/>
  <c r="AX34" i="1" s="1"/>
  <c r="AV46" i="1"/>
  <c r="AY46" i="1" s="1"/>
  <c r="AX46" i="1" s="1"/>
  <c r="AV52" i="1"/>
  <c r="AY52" i="1" s="1"/>
  <c r="AX52" i="1" s="1"/>
  <c r="AV6" i="1"/>
  <c r="AY6" i="1" s="1"/>
  <c r="AV23" i="1"/>
  <c r="AY23" i="1" s="1"/>
  <c r="AX23" i="1" s="1"/>
  <c r="AV29" i="1"/>
  <c r="AY29" i="1" s="1"/>
  <c r="AX29" i="1" s="1"/>
  <c r="AV55" i="1"/>
  <c r="AY55" i="1" s="1"/>
  <c r="AX55" i="1" s="1"/>
  <c r="BH46" i="1" l="1"/>
  <c r="BI46" i="1"/>
  <c r="BL46" i="1"/>
  <c r="BK46" i="1"/>
  <c r="BI31" i="1"/>
  <c r="BH31" i="1"/>
  <c r="BL31" i="1"/>
  <c r="BK31" i="1"/>
  <c r="BI16" i="1"/>
  <c r="BH16" i="1"/>
  <c r="BL16" i="1"/>
  <c r="BK16" i="1"/>
  <c r="BJ46" i="1"/>
  <c r="BI41" i="1"/>
  <c r="BL41" i="1"/>
  <c r="BK41" i="1"/>
  <c r="BH41" i="1"/>
  <c r="BJ16" i="1"/>
  <c r="BG57" i="1"/>
  <c r="E27" i="2"/>
  <c r="BI56" i="1"/>
  <c r="BL56" i="1"/>
  <c r="BK56" i="1"/>
  <c r="BH56" i="1"/>
  <c r="E16" i="2"/>
  <c r="F14" i="2" s="1"/>
  <c r="D15" i="2"/>
  <c r="AX6" i="1"/>
  <c r="BA57" i="1"/>
  <c r="F8" i="2" s="1"/>
  <c r="AW57" i="1"/>
  <c r="AV57" i="1"/>
  <c r="AY57" i="1" l="1"/>
  <c r="AX57" i="1" s="1"/>
  <c r="F15" i="2"/>
  <c r="BL57" i="1"/>
  <c r="BK57" i="1"/>
  <c r="F28" i="2" s="1"/>
  <c r="BH57" i="1"/>
  <c r="BI57" i="1"/>
  <c r="BJ57" i="1"/>
  <c r="F27" i="2" s="1"/>
</calcChain>
</file>

<file path=xl/sharedStrings.xml><?xml version="1.0" encoding="utf-8"?>
<sst xmlns="http://schemas.openxmlformats.org/spreadsheetml/2006/main" count="207" uniqueCount="140">
  <si>
    <t>Public and Private School Distribution Data Tool</t>
  </si>
  <si>
    <t>Alabama</t>
  </si>
  <si>
    <t>Table 1. Student Enrollment, 2021–22</t>
  </si>
  <si>
    <t>School type</t>
  </si>
  <si>
    <t>United States</t>
  </si>
  <si>
    <t>Percentage</t>
  </si>
  <si>
    <t>Private</t>
  </si>
  <si>
    <t>Table 2. Number of Schools, 2021–22</t>
  </si>
  <si>
    <t>Number of schools</t>
  </si>
  <si>
    <t>Table 3. Location of Private Schools, 2021–22</t>
  </si>
  <si>
    <t>Urban/Suburban</t>
  </si>
  <si>
    <t>Distant and Remote–  Rural and Town</t>
  </si>
  <si>
    <t>Table 4. Religious Affiliation of Private Schools, 2021–22</t>
  </si>
  <si>
    <t>Religious</t>
  </si>
  <si>
    <t>Nonsectarian</t>
  </si>
  <si>
    <t>Sources: All public and private school data represent the 2021–22 school year, the most recent available for private schools. The source of data for public schools is the National Center for Education Statistics Common Core of Data (https://nces.ed.gov/ccd/). The source of data for private schools is the National Center for Education Statistics Private School Universe Survey (https://nces.ed.gov/surveys/pss/). Data were accessed 02/28/2025.</t>
  </si>
  <si>
    <t>What does this table contain?</t>
  </si>
  <si>
    <t>Private School Location</t>
  </si>
  <si>
    <t>Public Schools</t>
  </si>
  <si>
    <t>Number of Private Schools</t>
  </si>
  <si>
    <t>Mapping</t>
  </si>
  <si>
    <t>Religious Affiliation of Private Schools</t>
  </si>
  <si>
    <t>City, large</t>
  </si>
  <si>
    <t>City, midsize</t>
  </si>
  <si>
    <t>City, small</t>
  </si>
  <si>
    <t>Suburb, large</t>
  </si>
  <si>
    <t>Suburb, midsize</t>
  </si>
  <si>
    <t>Suburb, small</t>
  </si>
  <si>
    <t>Town, fringe</t>
  </si>
  <si>
    <t>Town, distant</t>
  </si>
  <si>
    <t>Town, remote</t>
  </si>
  <si>
    <t>Rural, fringe</t>
  </si>
  <si>
    <t>Rural, distant</t>
  </si>
  <si>
    <t>Rural, remote</t>
  </si>
  <si>
    <t>Total</t>
  </si>
  <si>
    <t>Remote</t>
  </si>
  <si>
    <t>Number of Schools</t>
  </si>
  <si>
    <t>Percentage of Schools</t>
  </si>
  <si>
    <t>STATE</t>
  </si>
  <si>
    <t>Number</t>
  </si>
  <si>
    <t>Percent</t>
  </si>
  <si>
    <t xml:space="preserve"> Number of operating schools</t>
  </si>
  <si>
    <t xml:space="preserve"> Number of operating districts</t>
  </si>
  <si>
    <t xml:space="preserve"> Student membership</t>
  </si>
  <si>
    <t xml:space="preserve"> Teachers</t>
  </si>
  <si>
    <t xml:space="preserve"> Pupil/ Teacher ratio </t>
  </si>
  <si>
    <t>Schools</t>
  </si>
  <si>
    <t>Students</t>
  </si>
  <si>
    <t>FTE teachers</t>
  </si>
  <si>
    <t>High school graduates 2020–21</t>
  </si>
  <si>
    <t>School Age Children (2021) (In 1,000s)</t>
  </si>
  <si>
    <t>School Age Children (2021) (Actual)</t>
  </si>
  <si>
    <t xml:space="preserve">Public School </t>
  </si>
  <si>
    <t>Private School</t>
  </si>
  <si>
    <t>Other</t>
  </si>
  <si>
    <t>Public</t>
  </si>
  <si>
    <t>Catholic</t>
  </si>
  <si>
    <t>Other religious</t>
  </si>
  <si>
    <t>All religious</t>
  </si>
  <si>
    <t>Alaska</t>
  </si>
  <si>
    <t>‡</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</si>
  <si>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</si>
  <si>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</si>
  <si>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</si>
  <si>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</si>
  <si>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</si>
  <si>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</si>
  <si>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</si>
  <si>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</si>
  <si>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</si>
  <si>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</si>
  <si>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</si>
  <si>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</si>
  <si>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</si>
  <si>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</si>
  <si>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</si>
  <si>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</si>
  <si>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</si>
  <si>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</si>
  <si>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</si>
  <si>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</si>
  <si>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</si>
  <si>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</si>
  <si>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</si>
  <si>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</si>
  <si>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</si>
  <si>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</si>
  <si>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</si>
  <si>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</si>
  <si>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</si>
  <si>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</si>
  <si>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</si>
  <si>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</si>
  <si>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</si>
  <si>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</si>
  <si>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</si>
  <si>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</si>
  <si>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</si>
  <si>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</si>
  <si>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</si>
  <si>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</si>
  <si>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</si>
  <si>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</si>
  <si>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</si>
  <si>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</si>
  <si>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</si>
  <si>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</si>
  <si>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</si>
  <si>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</si>
  <si>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</si>
  <si>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</si>
  <si>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t>
  </si>
  <si>
    <t>Because school numbers are calculated using survey weights, they are rounded to the nearest whole number.</t>
  </si>
  <si>
    <t>The locale variable is called ULOCALE22 in the dataset. Definitions for each locale can be found here: https://nces.ed.gov/surveys/annualreports/topical-studies/locale/definitions</t>
  </si>
  <si>
    <t>Percentages are row percentages to show proportions within each state.</t>
  </si>
  <si>
    <t>Calculated by LPI staff.</t>
  </si>
  <si>
    <t>Percent homeschooled</t>
  </si>
  <si>
    <t>https://nces.ed.gov/pubs2023/2023101.pdf</t>
  </si>
  <si>
    <t>Age 5 to 17</t>
  </si>
  <si>
    <t>https://nces.ed.gov/programs/digest/d23/tables/dt23_101.40.asp</t>
  </si>
  <si>
    <r>
      <rPr>
        <vertAlign val="superscript"/>
        <sz val="10"/>
        <color rgb="FF000000"/>
        <rFont val="Aptos Narrow (Body)"/>
      </rPr>
      <t>a</t>
    </r>
    <r>
      <rPr>
        <sz val="10"/>
        <color rgb="FF000000"/>
        <rFont val="Aptos Narrow"/>
        <scheme val="minor"/>
      </rPr>
      <t xml:space="preserve"> Student enrollment data do not include students who are homeschooled. </t>
    </r>
  </si>
  <si>
    <r>
      <rPr>
        <vertAlign val="superscript"/>
        <sz val="10"/>
        <color rgb="FF000000"/>
        <rFont val="Aptos Narrow (Body)"/>
      </rPr>
      <t>b</t>
    </r>
    <r>
      <rPr>
        <sz val="10"/>
        <color rgb="FF000000"/>
        <rFont val="Aptos Narrow"/>
        <scheme val="minor"/>
      </rPr>
      <t xml:space="preserve"> Public schools include both district and charter schools. </t>
    </r>
  </si>
  <si>
    <r>
      <t>Enrollment</t>
    </r>
    <r>
      <rPr>
        <vertAlign val="superscript"/>
        <sz val="12"/>
        <color rgb="FF000000"/>
        <rFont val="Aptos Narrow (Body)"/>
      </rPr>
      <t xml:space="preserve"> a</t>
    </r>
  </si>
  <si>
    <r>
      <t>Public</t>
    </r>
    <r>
      <rPr>
        <b/>
        <vertAlign val="superscript"/>
        <sz val="12"/>
        <color rgb="FF000000"/>
        <rFont val="Aptos"/>
      </rPr>
      <t xml:space="preserve"> b</t>
    </r>
  </si>
  <si>
    <r>
      <t>Public</t>
    </r>
    <r>
      <rPr>
        <b/>
        <vertAlign val="superscript"/>
        <sz val="12"/>
        <color rgb="FF000000"/>
        <rFont val="Aptos"/>
      </rPr>
      <t> b</t>
    </r>
  </si>
  <si>
    <r>
      <t>School location</t>
    </r>
    <r>
      <rPr>
        <b/>
        <vertAlign val="superscript"/>
        <sz val="12"/>
        <color rgb="FFFFFFFF"/>
        <rFont val="Aptos Narrow (Body)"/>
      </rPr>
      <t xml:space="preserve"> c</t>
    </r>
  </si>
  <si>
    <r>
      <rPr>
        <b/>
        <sz val="12"/>
        <color theme="1"/>
        <rFont val="Aptos Narrow"/>
        <scheme val="minor"/>
      </rPr>
      <t xml:space="preserve"> </t>
    </r>
    <r>
      <rPr>
        <b/>
        <sz val="12"/>
        <color theme="1"/>
        <rFont val="Aptos Narrow (Body)"/>
      </rPr>
      <t>←</t>
    </r>
    <r>
      <rPr>
        <b/>
        <sz val="12"/>
        <color theme="1"/>
        <rFont val="Aptos Narrow"/>
        <scheme val="minor"/>
      </rPr>
      <t xml:space="preserve">  </t>
    </r>
    <r>
      <rPr>
        <b/>
        <sz val="11"/>
        <color theme="1"/>
        <rFont val="Aptos Narrow (Body)"/>
      </rPr>
      <t>Select state</t>
    </r>
    <r>
      <rPr>
        <b/>
        <sz val="10"/>
        <color theme="1"/>
        <rFont val="Aptos Narrow (Body)"/>
      </rPr>
      <t xml:space="preserve"> </t>
    </r>
  </si>
  <si>
    <t>Source: U.S. Department of Education, National Center for Education Statistics, Private School Universe Survey (PSS), 2021–22.</t>
  </si>
  <si>
    <t>NOTES</t>
  </si>
  <si>
    <t>Using School Age Children to Estimate Public/Private School Percentages</t>
  </si>
  <si>
    <t>This uses data from the NCES Private Schools Survey, 2021–22.</t>
  </si>
  <si>
    <t>Students in Private and Public Schools</t>
  </si>
  <si>
    <t>Percentage of students (DO NOT USE)</t>
  </si>
  <si>
    <t>Number of Public Schools</t>
  </si>
  <si>
    <t>Distant and Remote</t>
  </si>
  <si>
    <t>Source:  U.S. Department of Education, National Center for Education Statistics, Common Core of Data (CCD); Public Elementary/ Secondary School Universe Survey, 2021–22, Provisional Version 1a; Local Education Agency Universe Survey, 2021–22, Provisional Version 1a; and State Nonfiscal Survey of Public Elementary/Secondary Education, 2021–22, Provisional Version 1a.</t>
  </si>
  <si>
    <t>Percent Private Schools Mapped</t>
  </si>
  <si>
    <r>
      <rPr>
        <vertAlign val="superscript"/>
        <sz val="10"/>
        <color rgb="FF000000"/>
        <rFont val="Aptos Narrow"/>
      </rPr>
      <t>c</t>
    </r>
    <r>
      <rPr>
        <sz val="10"/>
        <color rgb="FF000000"/>
        <rFont val="Aptos Narrow"/>
      </rPr>
      <t xml:space="preserve"> Urban/Suburban includes schools defined by the U.S. Census Bureau as urban and suburban and schools designated as fringe towns and fringe rural. Distant and remote schools are those located in towns or rural areas that are defined as distant or remote by the National Center for Education Statistics. See https://nces.ed.gov/surveys/annualreports/topical-studies/locale/definitions (accessed 02/28/2025). The estimates included in these tables for distant and remote schools may be less precise in states with small numbers.</t>
    </r>
  </si>
  <si>
    <r>
      <t>School type</t>
    </r>
    <r>
      <rPr>
        <b/>
        <vertAlign val="superscript"/>
        <sz val="12"/>
        <color theme="0"/>
        <rFont val="Aptos Narrow (Body)"/>
      </rPr>
      <t xml:space="preserve"> d</t>
    </r>
  </si>
  <si>
    <r>
      <rPr>
        <vertAlign val="superscript"/>
        <sz val="10"/>
        <color rgb="FF000000"/>
        <rFont val="Aptos Narrow (Body)"/>
      </rPr>
      <t>d</t>
    </r>
    <r>
      <rPr>
        <sz val="10"/>
        <color rgb="FF000000"/>
        <rFont val="Aptos Narrow"/>
        <scheme val="minor"/>
      </rPr>
      <t xml:space="preserve"> The estimates included in these tables for nonsectarian schools may be less precise in states with small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</si>
</sst>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
    <numFmt numFmtId="167" formatCode="0_)"/>
    <numFmt numFmtId="168" formatCode="#,##0.0"/>
    <numFmt numFmtId="169" formatCode="_(* #,##0_);_(* \(#,##0\);_(* &quot;-&quot;??_);_(@_)"/>
  </numFmts>
  <fonts count="39" x14ac:knownFonts="1">
    <font>
      <sz val="12"/>
      <color theme="1"/>
      <name val="Aptos Narrow"/>
      <family val="2"/>
      <scheme val="minor"/>
    </font>
    <font>
      <sz val="12"/>
      <color theme="1"/>
      <name val="Aptos Narrow"/>
      <family val="2"/>
      <scheme val="minor"/>
    </font>
    <font>
      <b/>
      <sz val="12"/>
      <color theme="1"/>
      <name val="Aptos Narrow"/>
      <scheme val="minor"/>
    </font>
    <font>
      <b/>
      <sz val="12"/>
      <name val="Aptos Narrow"/>
      <scheme val="minor"/>
    </font>
    <font>
      <b/>
      <sz val="12"/>
      <color theme="1"/>
      <name val="Aptos Narrow"/>
      <family val="2"/>
      <scheme val="minor"/>
    </font>
    <font>
      <sz val="12"/>
      <name val="Aptos Narrow"/>
      <scheme val="minor"/>
    </font>
    <font>
      <u/>
      <sz val="12"/>
      <color theme="10"/>
      <name val="Aptos Narrow"/>
      <family val="2"/>
      <scheme val="minor"/>
    </font>
    <font>
      <sz val="12"/>
      <color theme="1"/>
      <name val="Aptos"/>
    </font>
    <font>
      <b/>
      <sz val="14"/>
      <color theme="1"/>
      <name val="Aptos Narrow"/>
      <scheme val="minor"/>
    </font>
    <font>
      <sz val="12"/>
      <color theme="1"/>
      <name val="Aptos Narrow"/>
      <scheme val="minor"/>
    </font>
    <font>
      <sz val="10"/>
      <color theme="1"/>
      <name val="Aptos Narrow"/>
      <family val="2"/>
      <scheme val="minor"/>
    </font>
    <font>
      <b/>
      <sz val="16"/>
      <color theme="1"/>
      <name val="Aptos Narrow"/>
      <scheme val="minor"/>
    </font>
    <font>
      <b/>
      <sz val="12"/>
      <color theme="0"/>
      <name val="Aptos Narrow"/>
      <scheme val="minor"/>
    </font>
    <font>
      <b/>
      <sz val="12"/>
      <color theme="1"/>
      <name val="Aptos"/>
    </font>
    <font>
      <i/>
      <sz val="12"/>
      <color theme="1"/>
      <name val="Aptos Narrow"/>
      <scheme val="minor"/>
    </font>
    <font>
      <b/>
      <sz val="14"/>
      <color theme="0"/>
      <name val="Aptos Narrow"/>
      <scheme val="minor"/>
    </font>
    <font>
      <sz val="12"/>
      <name val="Aptos"/>
    </font>
    <font>
      <sz val="12"/>
      <color rgb="FF000000"/>
      <name val="Aptos Narrow"/>
      <scheme val="minor"/>
    </font>
    <font>
      <sz val="10"/>
      <color rgb="FF000000"/>
      <name val="Aptos Narrow"/>
    </font>
    <font>
      <sz val="10"/>
      <color rgb="FF000000"/>
      <name val="Aptos Narrow"/>
      <scheme val="minor"/>
    </font>
    <font>
      <b/>
      <sz val="12"/>
      <color rgb="FF000000"/>
      <name val="Aptos"/>
    </font>
    <font>
      <b/>
      <sz val="12"/>
      <color rgb="FFFFFFFF"/>
      <name val="Aptos Narrow"/>
      <scheme val="minor"/>
    </font>
    <font>
      <vertAlign val="superscript"/>
      <sz val="10"/>
      <color rgb="FF000000"/>
      <name val="Aptos Narrow (Body)"/>
    </font>
    <font>
      <vertAlign val="superscript"/>
      <sz val="12"/>
      <color rgb="FF000000"/>
      <name val="Aptos Narrow (Body)"/>
    </font>
    <font>
      <vertAlign val="superscript"/>
      <sz val="10"/>
      <color rgb="FF000000"/>
      <name val="Aptos Narrow"/>
    </font>
    <font>
      <b/>
      <vertAlign val="superscript"/>
      <sz val="12"/>
      <color rgb="FF000000"/>
      <name val="Aptos"/>
    </font>
    <font>
      <b/>
      <vertAlign val="superscript"/>
      <sz val="12"/>
      <color rgb="FFFFFFFF"/>
      <name val="Aptos Narrow (Body)"/>
    </font>
    <font>
      <b/>
      <sz val="10"/>
      <color theme="1"/>
      <name val="Aptos Narrow (Body)"/>
    </font>
    <font>
      <b/>
      <sz val="11"/>
      <color theme="1"/>
      <name val="Aptos Narrow (Body)"/>
    </font>
    <font>
      <b/>
      <sz val="11"/>
      <color theme="1"/>
      <name val="Aptos Narrow"/>
      <scheme val="minor"/>
    </font>
    <font>
      <b/>
      <sz val="12"/>
      <color theme="1"/>
      <name val="Aptos Narrow (Body)"/>
    </font>
    <font>
      <b/>
      <sz val="11"/>
      <name val="Aptos Narrow"/>
      <scheme val="minor"/>
    </font>
    <font>
      <i/>
      <sz val="12"/>
      <color theme="1"/>
      <name val="Aptos Narrow"/>
      <family val="2"/>
      <scheme val="minor"/>
    </font>
    <font>
      <sz val="12"/>
      <name val="Arial"/>
      <family val="2"/>
    </font>
    <font>
      <sz val="11"/>
      <color theme="1"/>
      <name val="Aptos Narrow"/>
      <scheme val="minor"/>
    </font>
    <font>
      <sz val="11"/>
      <name val="Aptos Narrow"/>
      <scheme val="minor"/>
    </font>
    <font>
      <u/>
      <sz val="11"/>
      <color theme="10"/>
      <name val="Aptos Narrow"/>
      <scheme val="minor"/>
    </font>
    <font>
      <sz val="12"/>
      <color theme="0"/>
      <name val="Aptos Narrow"/>
      <scheme val="minor"/>
    </font>
    <font>
      <b/>
      <vertAlign val="superscript"/>
      <sz val="12"/>
      <color theme="0"/>
      <name val="Aptos Narrow (Body)"/>
    </font>
  </fonts>
  <fills count="16">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4"/>
        <bgColor indexed="64"/>
      </patternFill>
    </fill>
    <fill>
      <patternFill patternType="solid">
        <fgColor theme="6"/>
        <bgColor indexed="64"/>
      </patternFill>
    </fill>
    <fill>
      <patternFill patternType="solid">
        <fgColor theme="4" tint="0.79998168889431442"/>
        <bgColor indexed="64"/>
      </patternFill>
    </fill>
    <fill>
      <patternFill patternType="solid">
        <fgColor theme="1" tint="0.249977111117893"/>
        <bgColor indexed="64"/>
      </patternFill>
    </fill>
  </fills>
  <borders count="10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ck">
        <color auto="1"/>
      </left>
      <right/>
      <top/>
      <bottom/>
      <diagonal/>
    </border>
    <border>
      <left style="thin">
        <color indexed="64"/>
      </left>
      <right/>
      <top style="thin">
        <color indexed="64"/>
      </top>
      <bottom/>
      <diagonal/>
    </border>
    <border>
      <left style="thick">
        <color auto="1"/>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ck">
        <color indexed="64"/>
      </right>
      <top/>
      <bottom style="thick">
        <color indexed="64"/>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right/>
      <top style="thin">
        <color indexed="64"/>
      </top>
      <bottom/>
      <diagonal/>
    </border>
    <border>
      <left style="thick">
        <color auto="1"/>
      </left>
      <right style="thick">
        <color indexed="64"/>
      </right>
      <top/>
      <bottom style="thin">
        <color indexed="64"/>
      </bottom>
      <diagonal/>
    </border>
    <border>
      <left/>
      <right style="thin">
        <color indexed="64"/>
      </right>
      <top style="medium">
        <color indexed="64"/>
      </top>
      <bottom/>
      <diagonal/>
    </border>
    <border>
      <left/>
      <right style="thick">
        <color indexed="64"/>
      </right>
      <top style="medium">
        <color indexed="64"/>
      </top>
      <bottom/>
      <diagonal/>
    </border>
    <border>
      <left style="thin">
        <color indexed="64"/>
      </left>
      <right style="thin">
        <color indexed="64"/>
      </right>
      <top/>
      <bottom style="thick">
        <color indexed="64"/>
      </bottom>
      <diagonal/>
    </border>
    <border>
      <left style="thick">
        <color indexed="64"/>
      </left>
      <right/>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auto="1"/>
      </right>
      <top style="medium">
        <color indexed="64"/>
      </top>
      <bottom style="thin">
        <color indexed="64"/>
      </bottom>
      <diagonal/>
    </border>
    <border>
      <left style="thick">
        <color indexed="64"/>
      </left>
      <right style="thick">
        <color indexed="64"/>
      </right>
      <top style="medium">
        <color indexed="64"/>
      </top>
      <bottom/>
      <diagonal/>
    </border>
    <border>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right/>
      <top style="thin">
        <color indexed="64"/>
      </top>
      <bottom style="medium">
        <color indexed="64"/>
      </bottom>
      <diagonal/>
    </border>
    <border>
      <left style="thick">
        <color auto="1"/>
      </left>
      <right style="thick">
        <color indexed="64"/>
      </right>
      <top/>
      <bottom style="medium">
        <color indexed="64"/>
      </bottom>
      <diagonal/>
    </border>
    <border>
      <left style="medium">
        <color rgb="FF000000"/>
      </left>
      <right style="medium">
        <color theme="1"/>
      </right>
      <top/>
      <bottom style="medium">
        <color rgb="FF000000"/>
      </bottom>
      <diagonal/>
    </border>
    <border>
      <left style="medium">
        <color rgb="FF000000"/>
      </left>
      <right style="medium">
        <color theme="1"/>
      </right>
      <top/>
      <bottom/>
      <diagonal/>
    </border>
    <border>
      <left/>
      <right style="medium">
        <color theme="1"/>
      </right>
      <top/>
      <bottom style="medium">
        <color rgb="FF000000"/>
      </bottom>
      <diagonal/>
    </border>
    <border>
      <left/>
      <right style="medium">
        <color theme="1"/>
      </right>
      <top/>
      <bottom/>
      <diagonal/>
    </border>
    <border>
      <left style="medium">
        <color theme="1"/>
      </left>
      <right/>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41">
    <xf numFmtId="0" fontId="0" fillId="0" borderId="0" xfId="0"/>
    <xf numFmtId="1" fontId="0" fillId="0" borderId="0" xfId="0" applyNumberFormat="1"/>
    <xf numFmtId="164" fontId="0" fillId="0" borderId="0" xfId="1" applyNumberFormat="1" applyFont="1" applyBorder="1"/>
    <xf numFmtId="9" fontId="0" fillId="0" borderId="0" xfId="1" applyFont="1" applyBorder="1"/>
    <xf numFmtId="164" fontId="0" fillId="0" borderId="5" xfId="1" applyNumberFormat="1" applyFont="1" applyBorder="1"/>
    <xf numFmtId="0" fontId="0" fillId="0" borderId="0" xfId="0" applyAlignment="1">
      <alignment horizontal="center"/>
    </xf>
    <xf numFmtId="3" fontId="5" fillId="3" borderId="20"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3" fontId="5" fillId="3" borderId="15" xfId="0" applyNumberFormat="1" applyFont="1" applyFill="1" applyBorder="1" applyAlignment="1">
      <alignment horizontal="center" vertical="center"/>
    </xf>
    <xf numFmtId="0" fontId="0" fillId="0" borderId="0" xfId="0" applyAlignment="1">
      <alignment horizontal="center" vertical="center"/>
    </xf>
    <xf numFmtId="3" fontId="0" fillId="0" borderId="0" xfId="0" applyNumberFormat="1"/>
    <xf numFmtId="0" fontId="8" fillId="0" borderId="0" xfId="0" applyFont="1"/>
    <xf numFmtId="168" fontId="5" fillId="3" borderId="7" xfId="0" applyNumberFormat="1" applyFont="1" applyFill="1" applyBorder="1" applyAlignment="1">
      <alignment horizontal="center" vertical="center"/>
    </xf>
    <xf numFmtId="164" fontId="9" fillId="0" borderId="32" xfId="0" applyNumberFormat="1" applyFont="1" applyBorder="1" applyAlignment="1">
      <alignment horizontal="center" vertical="center"/>
    </xf>
    <xf numFmtId="0" fontId="2" fillId="0" borderId="33" xfId="0" applyFont="1" applyBorder="1" applyAlignment="1">
      <alignment horizontal="center" vertical="center" wrapText="1"/>
    </xf>
    <xf numFmtId="3" fontId="9" fillId="0" borderId="34"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13" fillId="0" borderId="33" xfId="0" applyFont="1" applyBorder="1" applyAlignment="1">
      <alignment horizontal="center" vertical="center" wrapText="1"/>
    </xf>
    <xf numFmtId="0" fontId="2" fillId="0" borderId="33" xfId="0" applyFont="1" applyBorder="1" applyAlignment="1">
      <alignment horizontal="center" vertical="center"/>
    </xf>
    <xf numFmtId="3" fontId="9" fillId="0" borderId="30" xfId="0" applyNumberFormat="1" applyFont="1" applyBorder="1" applyAlignment="1">
      <alignment horizontal="center" vertical="center"/>
    </xf>
    <xf numFmtId="164" fontId="9" fillId="0" borderId="35" xfId="0" applyNumberFormat="1" applyFont="1" applyBorder="1" applyAlignment="1">
      <alignment horizontal="center" vertical="center"/>
    </xf>
    <xf numFmtId="3" fontId="9" fillId="0" borderId="29" xfId="0" applyNumberFormat="1" applyFont="1" applyBorder="1" applyAlignment="1">
      <alignment horizontal="center" vertical="center"/>
    </xf>
    <xf numFmtId="0" fontId="2" fillId="0" borderId="9" xfId="0" applyFont="1" applyBorder="1" applyAlignment="1">
      <alignment horizontal="center" vertical="center"/>
    </xf>
    <xf numFmtId="0" fontId="9" fillId="10" borderId="10" xfId="0" applyFont="1" applyFill="1" applyBorder="1" applyAlignment="1">
      <alignment horizontal="center" vertical="center"/>
    </xf>
    <xf numFmtId="0" fontId="9" fillId="10" borderId="36" xfId="0" applyFont="1" applyFill="1" applyBorder="1" applyAlignment="1">
      <alignment horizontal="center" vertical="center"/>
    </xf>
    <xf numFmtId="0" fontId="9" fillId="14" borderId="37" xfId="0" applyFont="1" applyFill="1" applyBorder="1" applyAlignment="1">
      <alignment horizontal="center" vertical="center"/>
    </xf>
    <xf numFmtId="0" fontId="9" fillId="14" borderId="36" xfId="0" applyFont="1" applyFill="1" applyBorder="1" applyAlignment="1">
      <alignment horizontal="center" vertical="center"/>
    </xf>
    <xf numFmtId="0" fontId="9" fillId="14" borderId="12" xfId="0" applyFont="1" applyFill="1" applyBorder="1" applyAlignment="1">
      <alignment horizontal="center" vertical="center"/>
    </xf>
    <xf numFmtId="0" fontId="9" fillId="10" borderId="10" xfId="0" applyFont="1" applyFill="1" applyBorder="1" applyAlignment="1">
      <alignment horizontal="center"/>
    </xf>
    <xf numFmtId="0" fontId="9" fillId="10" borderId="36" xfId="0" applyFont="1" applyFill="1" applyBorder="1" applyAlignment="1">
      <alignment horizontal="center"/>
    </xf>
    <xf numFmtId="0" fontId="9" fillId="14" borderId="12" xfId="0" applyFont="1" applyFill="1" applyBorder="1" applyAlignment="1">
      <alignment horizontal="center"/>
    </xf>
    <xf numFmtId="0" fontId="9" fillId="14" borderId="36" xfId="0" applyFont="1" applyFill="1" applyBorder="1" applyAlignment="1">
      <alignment horizontal="center"/>
    </xf>
    <xf numFmtId="0" fontId="2" fillId="0" borderId="9" xfId="0" applyFont="1" applyBorder="1" applyAlignment="1">
      <alignment horizontal="center" vertical="center" wrapText="1"/>
    </xf>
    <xf numFmtId="0" fontId="0" fillId="0" borderId="0" xfId="0" applyAlignment="1">
      <alignment wrapText="1"/>
    </xf>
    <xf numFmtId="3" fontId="9" fillId="9" borderId="34" xfId="0" applyNumberFormat="1" applyFont="1" applyFill="1" applyBorder="1" applyAlignment="1">
      <alignment horizontal="center" vertical="center"/>
    </xf>
    <xf numFmtId="0" fontId="16" fillId="0" borderId="0" xfId="0" applyFont="1"/>
    <xf numFmtId="0" fontId="6" fillId="0" borderId="0" xfId="2" applyAlignment="1"/>
    <xf numFmtId="0" fontId="17" fillId="10" borderId="10" xfId="0" applyFont="1" applyFill="1" applyBorder="1" applyAlignment="1">
      <alignment horizontal="center"/>
    </xf>
    <xf numFmtId="0" fontId="17" fillId="14" borderId="12" xfId="0" applyFont="1" applyFill="1" applyBorder="1" applyAlignment="1">
      <alignment horizontal="center"/>
    </xf>
    <xf numFmtId="0" fontId="20" fillId="0" borderId="9" xfId="0" applyFont="1" applyBorder="1" applyAlignment="1">
      <alignment horizontal="center" vertical="center" wrapText="1"/>
    </xf>
    <xf numFmtId="0" fontId="0" fillId="7" borderId="0" xfId="0" applyFill="1"/>
    <xf numFmtId="0" fontId="0" fillId="7" borderId="41" xfId="0" applyFill="1" applyBorder="1"/>
    <xf numFmtId="0" fontId="0" fillId="7" borderId="43" xfId="0" applyFill="1" applyBorder="1"/>
    <xf numFmtId="0" fontId="0" fillId="7" borderId="44" xfId="0" applyFill="1" applyBorder="1"/>
    <xf numFmtId="0" fontId="9" fillId="7" borderId="0" xfId="0" applyFont="1" applyFill="1" applyAlignment="1">
      <alignment vertical="center"/>
    </xf>
    <xf numFmtId="0" fontId="0" fillId="7" borderId="45" xfId="0" applyFill="1" applyBorder="1"/>
    <xf numFmtId="0" fontId="7" fillId="7" borderId="0" xfId="0" applyFont="1" applyFill="1" applyAlignment="1">
      <alignment horizontal="center" vertical="center" wrapText="1"/>
    </xf>
    <xf numFmtId="0" fontId="9" fillId="7" borderId="0" xfId="0" applyFont="1" applyFill="1"/>
    <xf numFmtId="0" fontId="13" fillId="0" borderId="0" xfId="0" applyFont="1" applyAlignment="1">
      <alignment horizontal="center" vertical="center" wrapText="1"/>
    </xf>
    <xf numFmtId="3" fontId="9" fillId="0" borderId="0" xfId="0" applyNumberFormat="1" applyFont="1" applyAlignment="1">
      <alignment horizontal="center" vertical="center"/>
    </xf>
    <xf numFmtId="1" fontId="9" fillId="0" borderId="0" xfId="0" applyNumberFormat="1" applyFont="1" applyAlignment="1">
      <alignment horizontal="center" vertical="center"/>
    </xf>
    <xf numFmtId="0" fontId="0" fillId="7" borderId="44" xfId="0" applyFill="1" applyBorder="1" applyAlignment="1">
      <alignment wrapText="1"/>
    </xf>
    <xf numFmtId="0" fontId="10" fillId="7" borderId="47" xfId="0" applyFont="1" applyFill="1" applyBorder="1" applyAlignment="1">
      <alignment wrapText="1"/>
    </xf>
    <xf numFmtId="0" fontId="4" fillId="7" borderId="0" xfId="0" applyFont="1" applyFill="1" applyAlignment="1">
      <alignment vertical="center"/>
    </xf>
    <xf numFmtId="168" fontId="5" fillId="3" borderId="51" xfId="0" applyNumberFormat="1" applyFont="1" applyFill="1" applyBorder="1" applyAlignment="1">
      <alignment horizontal="center" vertical="center"/>
    </xf>
    <xf numFmtId="3" fontId="5" fillId="3" borderId="53" xfId="0" applyNumberFormat="1" applyFont="1" applyFill="1" applyBorder="1" applyAlignment="1">
      <alignment horizontal="center" vertical="center"/>
    </xf>
    <xf numFmtId="168" fontId="5" fillId="3" borderId="53" xfId="0" applyNumberFormat="1" applyFont="1" applyFill="1" applyBorder="1" applyAlignment="1">
      <alignment horizontal="center" vertical="center"/>
    </xf>
    <xf numFmtId="3" fontId="5" fillId="3" borderId="14" xfId="0" applyNumberFormat="1" applyFont="1" applyFill="1" applyBorder="1" applyAlignment="1">
      <alignment horizontal="center" vertical="center"/>
    </xf>
    <xf numFmtId="166" fontId="5" fillId="3" borderId="14" xfId="0" applyNumberFormat="1" applyFont="1" applyFill="1" applyBorder="1" applyAlignment="1">
      <alignment horizontal="center" vertical="center"/>
    </xf>
    <xf numFmtId="166" fontId="5" fillId="3" borderId="18" xfId="0" applyNumberFormat="1" applyFont="1" applyFill="1" applyBorder="1" applyAlignment="1">
      <alignment horizontal="center" vertical="center"/>
    </xf>
    <xf numFmtId="3" fontId="5" fillId="5" borderId="22" xfId="0" applyNumberFormat="1" applyFont="1" applyFill="1" applyBorder="1" applyAlignment="1">
      <alignment horizontal="center" vertical="center"/>
    </xf>
    <xf numFmtId="0" fontId="8" fillId="4" borderId="58" xfId="0" applyFont="1" applyFill="1" applyBorder="1" applyAlignment="1">
      <alignment horizontal="center"/>
    </xf>
    <xf numFmtId="0" fontId="0" fillId="0" borderId="60" xfId="0" applyBorder="1"/>
    <xf numFmtId="0" fontId="0" fillId="0" borderId="5" xfId="0" applyBorder="1"/>
    <xf numFmtId="0" fontId="0" fillId="0" borderId="54" xfId="0" applyBorder="1"/>
    <xf numFmtId="164" fontId="0" fillId="0" borderId="60" xfId="1" applyNumberFormat="1" applyFont="1" applyBorder="1"/>
    <xf numFmtId="0" fontId="8" fillId="0" borderId="67" xfId="0" applyFont="1" applyBorder="1"/>
    <xf numFmtId="3" fontId="2" fillId="2" borderId="69" xfId="0" applyNumberFormat="1" applyFont="1" applyFill="1" applyBorder="1" applyAlignment="1">
      <alignment horizontal="center" vertical="center"/>
    </xf>
    <xf numFmtId="164" fontId="2" fillId="5" borderId="70" xfId="0" applyNumberFormat="1" applyFont="1" applyFill="1" applyBorder="1" applyAlignment="1">
      <alignment horizontal="center"/>
    </xf>
    <xf numFmtId="164" fontId="2" fillId="8" borderId="72" xfId="0" applyNumberFormat="1" applyFont="1" applyFill="1" applyBorder="1" applyAlignment="1">
      <alignment horizontal="center"/>
    </xf>
    <xf numFmtId="9" fontId="0" fillId="0" borderId="79" xfId="1" applyFont="1" applyBorder="1"/>
    <xf numFmtId="9" fontId="0" fillId="0" borderId="5" xfId="1" applyFont="1" applyBorder="1"/>
    <xf numFmtId="9" fontId="0" fillId="0" borderId="60" xfId="1" applyFont="1" applyBorder="1"/>
    <xf numFmtId="3" fontId="2" fillId="0" borderId="63" xfId="0" applyNumberFormat="1" applyFont="1" applyBorder="1"/>
    <xf numFmtId="3" fontId="2" fillId="2" borderId="64" xfId="0" applyNumberFormat="1" applyFont="1" applyFill="1" applyBorder="1" applyAlignment="1">
      <alignment horizontal="center" vertical="center"/>
    </xf>
    <xf numFmtId="168" fontId="5" fillId="3" borderId="64" xfId="0" applyNumberFormat="1" applyFont="1" applyFill="1" applyBorder="1" applyAlignment="1">
      <alignment horizontal="center" vertical="center"/>
    </xf>
    <xf numFmtId="3" fontId="2" fillId="3" borderId="60" xfId="0" applyNumberFormat="1" applyFont="1" applyFill="1" applyBorder="1" applyAlignment="1">
      <alignment horizontal="center" vertical="center"/>
    </xf>
    <xf numFmtId="3" fontId="2" fillId="3" borderId="64" xfId="0" applyNumberFormat="1" applyFont="1" applyFill="1" applyBorder="1" applyAlignment="1">
      <alignment horizontal="center" vertical="center"/>
    </xf>
    <xf numFmtId="0" fontId="2" fillId="3" borderId="70" xfId="0" applyFont="1" applyFill="1" applyBorder="1" applyAlignment="1">
      <alignment horizontal="center" vertical="center"/>
    </xf>
    <xf numFmtId="3" fontId="2" fillId="5" borderId="71" xfId="0" applyNumberFormat="1" applyFont="1" applyFill="1" applyBorder="1" applyAlignment="1">
      <alignment horizontal="center"/>
    </xf>
    <xf numFmtId="164" fontId="2" fillId="5" borderId="65" xfId="0" applyNumberFormat="1" applyFont="1" applyFill="1" applyBorder="1" applyAlignment="1">
      <alignment horizontal="center"/>
    </xf>
    <xf numFmtId="3" fontId="2" fillId="8" borderId="64" xfId="0" applyNumberFormat="1" applyFont="1" applyFill="1" applyBorder="1" applyAlignment="1">
      <alignment horizontal="center"/>
    </xf>
    <xf numFmtId="164" fontId="2" fillId="8" borderId="64" xfId="0" applyNumberFormat="1" applyFont="1" applyFill="1" applyBorder="1" applyAlignment="1">
      <alignment horizontal="center"/>
    </xf>
    <xf numFmtId="164" fontId="2" fillId="8" borderId="70" xfId="0" applyNumberFormat="1" applyFont="1" applyFill="1" applyBorder="1" applyAlignment="1">
      <alignment horizontal="center"/>
    </xf>
    <xf numFmtId="164" fontId="2" fillId="8" borderId="65" xfId="0" applyNumberFormat="1" applyFont="1" applyFill="1" applyBorder="1" applyAlignment="1">
      <alignment horizontal="center"/>
    </xf>
    <xf numFmtId="164" fontId="2" fillId="8" borderId="66" xfId="0" applyNumberFormat="1" applyFont="1" applyFill="1" applyBorder="1" applyAlignment="1">
      <alignment horizontal="center"/>
    </xf>
    <xf numFmtId="164" fontId="2" fillId="6" borderId="83" xfId="0" applyNumberFormat="1" applyFont="1" applyFill="1" applyBorder="1" applyAlignment="1">
      <alignment horizontal="center"/>
    </xf>
    <xf numFmtId="3" fontId="5" fillId="5" borderId="48" xfId="0" applyNumberFormat="1" applyFont="1" applyFill="1" applyBorder="1" applyAlignment="1">
      <alignment horizontal="center" vertical="center"/>
    </xf>
    <xf numFmtId="3" fontId="5" fillId="3" borderId="52" xfId="0" applyNumberFormat="1" applyFont="1" applyFill="1" applyBorder="1" applyAlignment="1">
      <alignment horizontal="center" vertical="center"/>
    </xf>
    <xf numFmtId="3" fontId="2" fillId="3" borderId="63" xfId="0" applyNumberFormat="1" applyFont="1" applyFill="1" applyBorder="1" applyAlignment="1">
      <alignment horizontal="center" vertical="center"/>
    </xf>
    <xf numFmtId="0" fontId="2" fillId="2" borderId="66" xfId="0" applyFont="1" applyFill="1" applyBorder="1" applyAlignment="1">
      <alignment horizontal="center" vertical="center"/>
    </xf>
    <xf numFmtId="164" fontId="2" fillId="4" borderId="69" xfId="0" applyNumberFormat="1" applyFont="1" applyFill="1" applyBorder="1" applyAlignment="1">
      <alignment horizontal="center" vertical="center"/>
    </xf>
    <xf numFmtId="3" fontId="2" fillId="6" borderId="86" xfId="0" applyNumberFormat="1" applyFont="1" applyFill="1" applyBorder="1" applyAlignment="1">
      <alignment horizontal="center"/>
    </xf>
    <xf numFmtId="164" fontId="2" fillId="6" borderId="65" xfId="0" applyNumberFormat="1" applyFont="1" applyFill="1" applyBorder="1" applyAlignment="1">
      <alignment horizontal="center"/>
    </xf>
    <xf numFmtId="1" fontId="9" fillId="0" borderId="6" xfId="0" applyNumberFormat="1" applyFont="1" applyBorder="1"/>
    <xf numFmtId="164" fontId="9" fillId="0" borderId="0" xfId="1" applyNumberFormat="1" applyFont="1" applyBorder="1"/>
    <xf numFmtId="3" fontId="9" fillId="0" borderId="6" xfId="0" applyNumberFormat="1" applyFont="1" applyBorder="1"/>
    <xf numFmtId="3" fontId="9" fillId="0" borderId="0" xfId="1" applyNumberFormat="1" applyFont="1" applyBorder="1" applyAlignment="1">
      <alignment horizontal="center"/>
    </xf>
    <xf numFmtId="164" fontId="9" fillId="0" borderId="49" xfId="1" applyNumberFormat="1" applyFont="1" applyBorder="1" applyAlignment="1">
      <alignment horizontal="center"/>
    </xf>
    <xf numFmtId="3" fontId="9" fillId="0" borderId="0" xfId="0" applyNumberFormat="1" applyFont="1" applyAlignment="1">
      <alignment horizontal="center"/>
    </xf>
    <xf numFmtId="164" fontId="9" fillId="0" borderId="49" xfId="0" applyNumberFormat="1" applyFont="1" applyBorder="1" applyAlignment="1">
      <alignment horizontal="center"/>
    </xf>
    <xf numFmtId="164" fontId="9" fillId="0" borderId="54" xfId="0" applyNumberFormat="1" applyFont="1" applyBorder="1" applyAlignment="1">
      <alignment horizontal="center"/>
    </xf>
    <xf numFmtId="3" fontId="5" fillId="2" borderId="22" xfId="0" applyNumberFormat="1" applyFont="1" applyFill="1" applyBorder="1" applyAlignment="1">
      <alignment horizontal="center"/>
    </xf>
    <xf numFmtId="0" fontId="5" fillId="2" borderId="7" xfId="0" applyFont="1" applyFill="1" applyBorder="1" applyAlignment="1">
      <alignment horizontal="center"/>
    </xf>
    <xf numFmtId="3" fontId="5" fillId="2" borderId="7" xfId="0" applyNumberFormat="1" applyFont="1" applyFill="1" applyBorder="1" applyAlignment="1">
      <alignment horizontal="center"/>
    </xf>
    <xf numFmtId="165" fontId="5" fillId="2" borderId="14" xfId="0" applyNumberFormat="1" applyFont="1" applyFill="1" applyBorder="1" applyAlignment="1">
      <alignment horizontal="center"/>
    </xf>
    <xf numFmtId="164" fontId="9" fillId="4" borderId="59" xfId="0" applyNumberFormat="1" applyFont="1" applyFill="1" applyBorder="1" applyAlignment="1">
      <alignment horizontal="center" vertical="center"/>
    </xf>
    <xf numFmtId="3" fontId="9" fillId="5" borderId="26" xfId="0" applyNumberFormat="1" applyFont="1" applyFill="1" applyBorder="1" applyAlignment="1">
      <alignment horizontal="center"/>
    </xf>
    <xf numFmtId="164" fontId="9" fillId="5" borderId="22" xfId="0" applyNumberFormat="1" applyFont="1" applyFill="1" applyBorder="1" applyAlignment="1">
      <alignment horizontal="center"/>
    </xf>
    <xf numFmtId="164" fontId="9" fillId="5" borderId="7" xfId="0" applyNumberFormat="1" applyFont="1" applyFill="1" applyBorder="1" applyAlignment="1">
      <alignment horizontal="center"/>
    </xf>
    <xf numFmtId="164" fontId="9" fillId="5" borderId="14" xfId="0" applyNumberFormat="1" applyFont="1" applyFill="1" applyBorder="1" applyAlignment="1">
      <alignment horizontal="center"/>
    </xf>
    <xf numFmtId="3" fontId="9" fillId="6" borderId="20" xfId="0" applyNumberFormat="1" applyFont="1" applyFill="1" applyBorder="1" applyAlignment="1">
      <alignment horizontal="center"/>
    </xf>
    <xf numFmtId="164" fontId="9" fillId="6" borderId="7" xfId="0" applyNumberFormat="1" applyFont="1" applyFill="1" applyBorder="1" applyAlignment="1">
      <alignment horizontal="center"/>
    </xf>
    <xf numFmtId="164" fontId="9" fillId="6" borderId="56" xfId="0" applyNumberFormat="1" applyFont="1" applyFill="1" applyBorder="1" applyAlignment="1">
      <alignment horizontal="center"/>
    </xf>
    <xf numFmtId="169" fontId="9" fillId="8" borderId="22" xfId="3" applyNumberFormat="1" applyFont="1" applyFill="1" applyBorder="1" applyAlignment="1">
      <alignment horizontal="center"/>
    </xf>
    <xf numFmtId="169" fontId="9" fillId="8" borderId="7" xfId="3" applyNumberFormat="1" applyFont="1" applyFill="1" applyBorder="1" applyAlignment="1">
      <alignment horizontal="center"/>
    </xf>
    <xf numFmtId="3" fontId="9" fillId="8" borderId="7" xfId="0" applyNumberFormat="1" applyFont="1" applyFill="1" applyBorder="1" applyAlignment="1">
      <alignment horizontal="center"/>
    </xf>
    <xf numFmtId="164" fontId="9" fillId="8" borderId="7" xfId="0" applyNumberFormat="1" applyFont="1" applyFill="1" applyBorder="1" applyAlignment="1">
      <alignment horizontal="center"/>
    </xf>
    <xf numFmtId="164" fontId="9" fillId="8" borderId="56" xfId="0" applyNumberFormat="1" applyFont="1" applyFill="1" applyBorder="1" applyAlignment="1">
      <alignment horizontal="center"/>
    </xf>
    <xf numFmtId="9" fontId="9" fillId="0" borderId="49" xfId="1" applyFont="1" applyBorder="1"/>
    <xf numFmtId="0" fontId="5" fillId="2" borderId="22" xfId="0" applyFont="1" applyFill="1" applyBorder="1" applyAlignment="1">
      <alignment horizontal="center"/>
    </xf>
    <xf numFmtId="3" fontId="9" fillId="8" borderId="14" xfId="0" applyNumberFormat="1" applyFont="1" applyFill="1" applyBorder="1" applyAlignment="1">
      <alignment horizontal="center"/>
    </xf>
    <xf numFmtId="164" fontId="9" fillId="8" borderId="27" xfId="0" applyNumberFormat="1" applyFont="1" applyFill="1" applyBorder="1" applyAlignment="1">
      <alignment horizontal="center"/>
    </xf>
    <xf numFmtId="3" fontId="5" fillId="2" borderId="14" xfId="0" applyNumberFormat="1" applyFont="1" applyFill="1" applyBorder="1" applyAlignment="1">
      <alignment horizontal="center"/>
    </xf>
    <xf numFmtId="1" fontId="9" fillId="0" borderId="11" xfId="0" applyNumberFormat="1" applyFont="1" applyBorder="1"/>
    <xf numFmtId="164" fontId="9" fillId="0" borderId="12" xfId="1" applyNumberFormat="1" applyFont="1" applyBorder="1"/>
    <xf numFmtId="3" fontId="9" fillId="0" borderId="11" xfId="0" applyNumberFormat="1" applyFont="1" applyBorder="1"/>
    <xf numFmtId="9" fontId="9" fillId="0" borderId="37" xfId="1" applyFont="1" applyBorder="1"/>
    <xf numFmtId="3" fontId="9" fillId="0" borderId="12" xfId="1" applyNumberFormat="1" applyFont="1" applyBorder="1" applyAlignment="1">
      <alignment horizontal="center"/>
    </xf>
    <xf numFmtId="164" fontId="9" fillId="0" borderId="37" xfId="1" applyNumberFormat="1" applyFont="1" applyBorder="1" applyAlignment="1">
      <alignment horizontal="center"/>
    </xf>
    <xf numFmtId="3" fontId="9" fillId="0" borderId="12" xfId="0" applyNumberFormat="1" applyFont="1" applyBorder="1" applyAlignment="1">
      <alignment horizontal="center"/>
    </xf>
    <xf numFmtId="164" fontId="9" fillId="0" borderId="37" xfId="0" applyNumberFormat="1" applyFont="1" applyBorder="1" applyAlignment="1">
      <alignment horizontal="center"/>
    </xf>
    <xf numFmtId="164" fontId="9" fillId="0" borderId="12" xfId="0" applyNumberFormat="1" applyFont="1" applyBorder="1" applyAlignment="1">
      <alignment horizontal="center"/>
    </xf>
    <xf numFmtId="0" fontId="5" fillId="2" borderId="52" xfId="0" applyFont="1" applyFill="1" applyBorder="1" applyAlignment="1">
      <alignment horizontal="center"/>
    </xf>
    <xf numFmtId="0" fontId="5" fillId="2" borderId="15" xfId="0" applyFont="1" applyFill="1" applyBorder="1" applyAlignment="1">
      <alignment horizontal="center"/>
    </xf>
    <xf numFmtId="3" fontId="5" fillId="2" borderId="15" xfId="0" applyNumberFormat="1" applyFont="1" applyFill="1" applyBorder="1" applyAlignment="1">
      <alignment horizontal="center"/>
    </xf>
    <xf numFmtId="165" fontId="5" fillId="2" borderId="18" xfId="0" applyNumberFormat="1" applyFont="1" applyFill="1" applyBorder="1" applyAlignment="1">
      <alignment horizontal="center"/>
    </xf>
    <xf numFmtId="164" fontId="9" fillId="4" borderId="85" xfId="0" applyNumberFormat="1" applyFont="1" applyFill="1" applyBorder="1" applyAlignment="1">
      <alignment horizontal="center" vertical="center"/>
    </xf>
    <xf numFmtId="3" fontId="9" fillId="5" borderId="32" xfId="0" applyNumberFormat="1" applyFont="1" applyFill="1" applyBorder="1" applyAlignment="1">
      <alignment horizontal="center"/>
    </xf>
    <xf numFmtId="164" fontId="9" fillId="5" borderId="48" xfId="0" applyNumberFormat="1" applyFont="1" applyFill="1" applyBorder="1" applyAlignment="1">
      <alignment horizontal="center"/>
    </xf>
    <xf numFmtId="164" fontId="9" fillId="5" borderId="15" xfId="0" applyNumberFormat="1" applyFont="1" applyFill="1" applyBorder="1" applyAlignment="1">
      <alignment horizontal="center"/>
    </xf>
    <xf numFmtId="164" fontId="9" fillId="5" borderId="18" xfId="0" applyNumberFormat="1" applyFont="1" applyFill="1" applyBorder="1" applyAlignment="1">
      <alignment horizontal="center"/>
    </xf>
    <xf numFmtId="3" fontId="9" fillId="6" borderId="21" xfId="0" applyNumberFormat="1" applyFont="1" applyFill="1" applyBorder="1" applyAlignment="1">
      <alignment horizontal="center"/>
    </xf>
    <xf numFmtId="164" fontId="9" fillId="6" borderId="53" xfId="0" applyNumberFormat="1" applyFont="1" applyFill="1" applyBorder="1" applyAlignment="1">
      <alignment horizontal="center"/>
    </xf>
    <xf numFmtId="164" fontId="9" fillId="6" borderId="73" xfId="0" applyNumberFormat="1" applyFont="1" applyFill="1" applyBorder="1" applyAlignment="1">
      <alignment horizontal="center"/>
    </xf>
    <xf numFmtId="169" fontId="9" fillId="8" borderId="48" xfId="3" applyNumberFormat="1" applyFont="1" applyFill="1" applyBorder="1" applyAlignment="1">
      <alignment horizontal="center"/>
    </xf>
    <xf numFmtId="169" fontId="9" fillId="8" borderId="15" xfId="3" applyNumberFormat="1" applyFont="1" applyFill="1" applyBorder="1" applyAlignment="1">
      <alignment horizontal="center"/>
    </xf>
    <xf numFmtId="3" fontId="9" fillId="8" borderId="15" xfId="0" applyNumberFormat="1" applyFont="1" applyFill="1" applyBorder="1" applyAlignment="1">
      <alignment horizontal="center"/>
    </xf>
    <xf numFmtId="3" fontId="9" fillId="8" borderId="18" xfId="0" applyNumberFormat="1" applyFont="1" applyFill="1" applyBorder="1" applyAlignment="1">
      <alignment horizontal="center"/>
    </xf>
    <xf numFmtId="164" fontId="9" fillId="8" borderId="28" xfId="0" applyNumberFormat="1" applyFont="1" applyFill="1" applyBorder="1" applyAlignment="1">
      <alignment horizontal="center"/>
    </xf>
    <xf numFmtId="164" fontId="9" fillId="8" borderId="15" xfId="0" applyNumberFormat="1" applyFont="1" applyFill="1" applyBorder="1" applyAlignment="1">
      <alignment horizontal="center"/>
    </xf>
    <xf numFmtId="164" fontId="9" fillId="8" borderId="73" xfId="0" applyNumberFormat="1" applyFont="1" applyFill="1" applyBorder="1" applyAlignment="1">
      <alignment horizontal="center"/>
    </xf>
    <xf numFmtId="1" fontId="9" fillId="0" borderId="62" xfId="0" applyNumberFormat="1" applyFont="1" applyBorder="1"/>
    <xf numFmtId="164" fontId="9" fillId="0" borderId="60" xfId="1" applyNumberFormat="1" applyFont="1" applyBorder="1"/>
    <xf numFmtId="164" fontId="9" fillId="0" borderId="63" xfId="1" applyNumberFormat="1" applyFont="1" applyBorder="1"/>
    <xf numFmtId="9" fontId="9" fillId="0" borderId="60" xfId="1" applyFont="1" applyBorder="1"/>
    <xf numFmtId="3" fontId="9" fillId="0" borderId="65" xfId="1" applyNumberFormat="1" applyFont="1" applyBorder="1" applyAlignment="1">
      <alignment horizontal="center"/>
    </xf>
    <xf numFmtId="164" fontId="9" fillId="0" borderId="60" xfId="1" applyNumberFormat="1" applyFont="1" applyBorder="1" applyAlignment="1">
      <alignment horizontal="center"/>
    </xf>
    <xf numFmtId="3" fontId="9" fillId="0" borderId="64" xfId="0" applyNumberFormat="1" applyFont="1" applyBorder="1" applyAlignment="1">
      <alignment horizontal="center"/>
    </xf>
    <xf numFmtId="164" fontId="9" fillId="0" borderId="62" xfId="0" applyNumberFormat="1" applyFont="1" applyBorder="1" applyAlignment="1">
      <alignment horizontal="center"/>
    </xf>
    <xf numFmtId="3" fontId="9" fillId="0" borderId="83" xfId="0" applyNumberFormat="1" applyFont="1" applyBorder="1" applyAlignment="1">
      <alignment horizontal="center"/>
    </xf>
    <xf numFmtId="164" fontId="9" fillId="0" borderId="65" xfId="0" applyNumberFormat="1" applyFont="1" applyBorder="1" applyAlignment="1">
      <alignment horizontal="center"/>
    </xf>
    <xf numFmtId="0" fontId="9" fillId="0" borderId="86" xfId="0" applyFont="1" applyBorder="1" applyAlignment="1">
      <alignment horizontal="center" vertical="center"/>
    </xf>
    <xf numFmtId="169" fontId="9" fillId="8" borderId="86" xfId="3" applyNumberFormat="1" applyFont="1" applyFill="1" applyBorder="1" applyAlignment="1">
      <alignment horizontal="center"/>
    </xf>
    <xf numFmtId="169" fontId="9" fillId="8" borderId="64" xfId="3" applyNumberFormat="1" applyFont="1" applyFill="1" applyBorder="1" applyAlignment="1">
      <alignment horizontal="center"/>
    </xf>
    <xf numFmtId="3" fontId="9" fillId="8" borderId="71" xfId="0" applyNumberFormat="1" applyFont="1" applyFill="1" applyBorder="1" applyAlignment="1">
      <alignment horizontal="center"/>
    </xf>
    <xf numFmtId="0" fontId="0" fillId="0" borderId="0" xfId="0" applyAlignment="1">
      <alignment horizontal="right"/>
    </xf>
    <xf numFmtId="0" fontId="0" fillId="0" borderId="0" xfId="0" applyAlignment="1">
      <alignment horizontal="right" vertical="top"/>
    </xf>
    <xf numFmtId="164" fontId="9" fillId="0" borderId="0" xfId="1" applyNumberFormat="1" applyFont="1" applyBorder="1" applyAlignment="1">
      <alignment vertical="top"/>
    </xf>
    <xf numFmtId="1" fontId="9" fillId="0" borderId="0" xfId="0" applyNumberFormat="1" applyFont="1" applyAlignment="1">
      <alignment vertical="top"/>
    </xf>
    <xf numFmtId="164" fontId="34" fillId="0" borderId="0" xfId="1" applyNumberFormat="1" applyFont="1" applyBorder="1" applyAlignment="1">
      <alignment vertical="top"/>
    </xf>
    <xf numFmtId="164" fontId="34" fillId="0" borderId="60" xfId="1" applyNumberFormat="1" applyFont="1" applyBorder="1" applyAlignment="1">
      <alignment vertical="top"/>
    </xf>
    <xf numFmtId="1" fontId="9" fillId="0" borderId="60" xfId="0" applyNumberFormat="1" applyFont="1" applyBorder="1" applyAlignment="1">
      <alignment vertical="top"/>
    </xf>
    <xf numFmtId="164" fontId="9" fillId="0" borderId="60" xfId="1" applyNumberFormat="1" applyFont="1" applyBorder="1" applyAlignment="1">
      <alignment vertical="top"/>
    </xf>
    <xf numFmtId="1" fontId="0" fillId="0" borderId="60" xfId="0" applyNumberFormat="1" applyBorder="1"/>
    <xf numFmtId="0" fontId="0" fillId="0" borderId="67" xfId="0" applyBorder="1"/>
    <xf numFmtId="164" fontId="34" fillId="0" borderId="5" xfId="1" applyNumberFormat="1" applyFont="1" applyBorder="1" applyAlignment="1">
      <alignment vertical="top"/>
    </xf>
    <xf numFmtId="1" fontId="9" fillId="0" borderId="5" xfId="0" applyNumberFormat="1" applyFont="1" applyBorder="1" applyAlignment="1">
      <alignment vertical="top"/>
    </xf>
    <xf numFmtId="164" fontId="9" fillId="0" borderId="5" xfId="1" applyNumberFormat="1" applyFont="1" applyBorder="1" applyAlignment="1">
      <alignment vertical="top"/>
    </xf>
    <xf numFmtId="1" fontId="0" fillId="0" borderId="5" xfId="0" applyNumberFormat="1" applyBorder="1"/>
    <xf numFmtId="0" fontId="0" fillId="0" borderId="55" xfId="0" applyBorder="1"/>
    <xf numFmtId="0" fontId="35" fillId="0" borderId="79" xfId="0" applyFont="1" applyBorder="1" applyAlignment="1">
      <alignment vertical="top" wrapText="1"/>
    </xf>
    <xf numFmtId="0" fontId="5" fillId="0" borderId="79" xfId="0" applyFont="1" applyBorder="1" applyAlignment="1">
      <alignment vertical="top" wrapText="1"/>
    </xf>
    <xf numFmtId="1" fontId="0" fillId="0" borderId="79" xfId="0" applyNumberFormat="1" applyBorder="1"/>
    <xf numFmtId="164" fontId="0" fillId="0" borderId="79" xfId="1" applyNumberFormat="1" applyFont="1" applyBorder="1"/>
    <xf numFmtId="0" fontId="0" fillId="0" borderId="79" xfId="0" applyBorder="1"/>
    <xf numFmtId="0" fontId="0" fillId="0" borderId="78" xfId="0" applyBorder="1"/>
    <xf numFmtId="164" fontId="34" fillId="0" borderId="79" xfId="1" applyNumberFormat="1" applyFont="1" applyBorder="1" applyAlignment="1">
      <alignment vertical="top"/>
    </xf>
    <xf numFmtId="1" fontId="9" fillId="0" borderId="79" xfId="0" applyNumberFormat="1" applyFont="1" applyBorder="1" applyAlignment="1">
      <alignment vertical="top"/>
    </xf>
    <xf numFmtId="164" fontId="9" fillId="0" borderId="79" xfId="1" applyNumberFormat="1" applyFont="1" applyBorder="1" applyAlignment="1">
      <alignment vertical="top"/>
    </xf>
    <xf numFmtId="1" fontId="9" fillId="0" borderId="0" xfId="0" applyNumberFormat="1" applyFont="1"/>
    <xf numFmtId="1" fontId="9" fillId="0" borderId="12" xfId="0" applyNumberFormat="1" applyFont="1" applyBorder="1"/>
    <xf numFmtId="1" fontId="9" fillId="0" borderId="60" xfId="0" applyNumberFormat="1" applyFont="1" applyBorder="1"/>
    <xf numFmtId="0" fontId="0" fillId="0" borderId="90" xfId="0" applyBorder="1"/>
    <xf numFmtId="1" fontId="37" fillId="11" borderId="88" xfId="0" applyNumberFormat="1" applyFont="1" applyFill="1" applyBorder="1"/>
    <xf numFmtId="164" fontId="37" fillId="11" borderId="88" xfId="1" applyNumberFormat="1" applyFont="1" applyFill="1" applyBorder="1"/>
    <xf numFmtId="9" fontId="37" fillId="11" borderId="88" xfId="1" applyFont="1" applyFill="1" applyBorder="1"/>
    <xf numFmtId="0" fontId="37" fillId="11" borderId="88" xfId="0" applyFont="1" applyFill="1" applyBorder="1"/>
    <xf numFmtId="0" fontId="37" fillId="11" borderId="89" xfId="0" applyFont="1" applyFill="1" applyBorder="1"/>
    <xf numFmtId="0" fontId="9" fillId="0" borderId="91" xfId="0" applyFont="1" applyBorder="1" applyAlignment="1">
      <alignment horizontal="right" indent="1"/>
    </xf>
    <xf numFmtId="0" fontId="9" fillId="0" borderId="92" xfId="0" applyFont="1" applyBorder="1" applyAlignment="1">
      <alignment horizontal="right" indent="1"/>
    </xf>
    <xf numFmtId="0" fontId="2" fillId="0" borderId="68" xfId="0" applyFont="1" applyBorder="1" applyAlignment="1">
      <alignment horizontal="right" indent="1"/>
    </xf>
    <xf numFmtId="0" fontId="12" fillId="11" borderId="87" xfId="0" applyFont="1" applyFill="1" applyBorder="1" applyAlignment="1">
      <alignment horizontal="right" indent="1"/>
    </xf>
    <xf numFmtId="0" fontId="29" fillId="0" borderId="17" xfId="0" applyFont="1" applyBorder="1" applyAlignment="1">
      <alignment horizontal="right" vertical="top" indent="1"/>
    </xf>
    <xf numFmtId="0" fontId="29" fillId="0" borderId="19" xfId="0" applyFont="1" applyBorder="1" applyAlignment="1">
      <alignment horizontal="right" indent="1"/>
    </xf>
    <xf numFmtId="0" fontId="29" fillId="0" borderId="77" xfId="0" applyFont="1" applyBorder="1" applyAlignment="1">
      <alignment horizontal="right" vertical="top" indent="1"/>
    </xf>
    <xf numFmtId="0" fontId="31" fillId="0" borderId="77" xfId="0" applyFont="1" applyBorder="1" applyAlignment="1">
      <alignment horizontal="right" vertical="top" indent="1"/>
    </xf>
    <xf numFmtId="0" fontId="31" fillId="0" borderId="17" xfId="0" applyFont="1" applyBorder="1" applyAlignment="1">
      <alignment horizontal="right" vertical="top" indent="1"/>
    </xf>
    <xf numFmtId="0" fontId="31" fillId="0" borderId="61" xfId="0" applyFont="1" applyBorder="1" applyAlignment="1">
      <alignment horizontal="right" vertical="top" indent="1"/>
    </xf>
    <xf numFmtId="1" fontId="37" fillId="11" borderId="88" xfId="0" applyNumberFormat="1" applyFont="1" applyFill="1" applyBorder="1" applyAlignment="1">
      <alignment horizontal="left" indent="1"/>
    </xf>
    <xf numFmtId="0" fontId="34" fillId="0" borderId="0" xfId="0" applyFont="1" applyAlignment="1">
      <alignment horizontal="left" vertical="top" indent="1"/>
    </xf>
    <xf numFmtId="1" fontId="34" fillId="0" borderId="5" xfId="0" applyNumberFormat="1" applyFont="1" applyBorder="1" applyAlignment="1">
      <alignment horizontal="left" indent="1"/>
    </xf>
    <xf numFmtId="0" fontId="35" fillId="0" borderId="0" xfId="0" applyFont="1" applyAlignment="1">
      <alignment horizontal="left" vertical="top" indent="1"/>
    </xf>
    <xf numFmtId="1" fontId="34" fillId="0" borderId="0" xfId="0" applyNumberFormat="1" applyFont="1" applyAlignment="1">
      <alignment horizontal="left" vertical="top" indent="1"/>
    </xf>
    <xf numFmtId="167" fontId="35" fillId="0" borderId="79" xfId="0" applyNumberFormat="1" applyFont="1" applyBorder="1" applyAlignment="1">
      <alignment horizontal="left" vertical="top" indent="1"/>
    </xf>
    <xf numFmtId="1" fontId="34" fillId="0" borderId="79" xfId="0" applyNumberFormat="1" applyFont="1" applyBorder="1" applyAlignment="1">
      <alignment horizontal="left" vertical="top" indent="1"/>
    </xf>
    <xf numFmtId="0" fontId="36" fillId="0" borderId="79" xfId="2" applyFont="1" applyBorder="1" applyAlignment="1">
      <alignment horizontal="left" vertical="top" indent="1"/>
    </xf>
    <xf numFmtId="0" fontId="36" fillId="0" borderId="0" xfId="2" applyFont="1" applyBorder="1" applyAlignment="1">
      <alignment horizontal="left" vertical="top" indent="1"/>
    </xf>
    <xf numFmtId="0" fontId="36" fillId="0" borderId="60" xfId="2" applyFont="1" applyBorder="1" applyAlignment="1">
      <alignment horizontal="left" vertical="top" indent="1"/>
    </xf>
    <xf numFmtId="0" fontId="0" fillId="5" borderId="17" xfId="0" applyFill="1" applyBorder="1" applyAlignment="1">
      <alignment horizontal="center" vertical="center"/>
    </xf>
    <xf numFmtId="0" fontId="33" fillId="5" borderId="8" xfId="0" applyFont="1" applyFill="1" applyBorder="1" applyAlignment="1">
      <alignment vertical="center" wrapText="1"/>
    </xf>
    <xf numFmtId="0" fontId="0" fillId="6" borderId="93" xfId="0" applyFill="1" applyBorder="1" applyAlignment="1">
      <alignment horizontal="center"/>
    </xf>
    <xf numFmtId="0" fontId="0" fillId="6" borderId="24" xfId="0" applyFill="1" applyBorder="1" applyAlignment="1">
      <alignment horizontal="center"/>
    </xf>
    <xf numFmtId="0" fontId="0" fillId="6" borderId="82" xfId="0" applyFill="1" applyBorder="1" applyAlignment="1">
      <alignment horizontal="center"/>
    </xf>
    <xf numFmtId="0" fontId="0" fillId="3" borderId="82" xfId="0" applyFill="1" applyBorder="1" applyAlignment="1">
      <alignment horizontal="center"/>
    </xf>
    <xf numFmtId="0" fontId="2" fillId="4" borderId="99" xfId="0" applyFont="1" applyFill="1" applyBorder="1" applyAlignment="1">
      <alignment vertical="center" wrapText="1"/>
    </xf>
    <xf numFmtId="0" fontId="0" fillId="2" borderId="93" xfId="0" applyFill="1" applyBorder="1" applyAlignment="1">
      <alignment horizontal="center"/>
    </xf>
    <xf numFmtId="0" fontId="0" fillId="2" borderId="24" xfId="0" applyFill="1" applyBorder="1" applyAlignment="1">
      <alignment horizontal="center"/>
    </xf>
    <xf numFmtId="0" fontId="0" fillId="2" borderId="82" xfId="0" applyFill="1" applyBorder="1" applyAlignment="1">
      <alignment horizontal="center"/>
    </xf>
    <xf numFmtId="0" fontId="0" fillId="3" borderId="93" xfId="0" applyFill="1" applyBorder="1" applyAlignment="1">
      <alignment horizontal="center"/>
    </xf>
    <xf numFmtId="0" fontId="0" fillId="3" borderId="24" xfId="0" applyFill="1" applyBorder="1" applyAlignment="1">
      <alignment horizontal="center"/>
    </xf>
    <xf numFmtId="164" fontId="9" fillId="8" borderId="51" xfId="0" applyNumberFormat="1" applyFont="1" applyFill="1" applyBorder="1" applyAlignment="1">
      <alignment horizontal="center"/>
    </xf>
    <xf numFmtId="164" fontId="9" fillId="8" borderId="101" xfId="0" applyNumberFormat="1" applyFont="1" applyFill="1" applyBorder="1" applyAlignment="1">
      <alignment horizontal="center"/>
    </xf>
    <xf numFmtId="0" fontId="2" fillId="8" borderId="102" xfId="0" applyFont="1" applyFill="1" applyBorder="1" applyAlignment="1">
      <alignment horizontal="center"/>
    </xf>
    <xf numFmtId="0" fontId="2" fillId="8" borderId="100" xfId="0" applyFont="1" applyFill="1" applyBorder="1" applyAlignment="1">
      <alignment horizontal="center"/>
    </xf>
    <xf numFmtId="3" fontId="5" fillId="5" borderId="29" xfId="0" applyNumberFormat="1" applyFont="1" applyFill="1" applyBorder="1" applyAlignment="1">
      <alignment horizontal="center" vertical="center"/>
    </xf>
    <xf numFmtId="3" fontId="9" fillId="5" borderId="35" xfId="0" applyNumberFormat="1" applyFont="1" applyFill="1" applyBorder="1" applyAlignment="1">
      <alignment horizontal="center"/>
    </xf>
    <xf numFmtId="164" fontId="9" fillId="5" borderId="29" xfId="0" applyNumberFormat="1" applyFont="1" applyFill="1" applyBorder="1" applyAlignment="1">
      <alignment horizontal="center"/>
    </xf>
    <xf numFmtId="164" fontId="9" fillId="5" borderId="51" xfId="0" applyNumberFormat="1" applyFont="1" applyFill="1" applyBorder="1" applyAlignment="1">
      <alignment horizontal="center"/>
    </xf>
    <xf numFmtId="164" fontId="9" fillId="5" borderId="4" xfId="0" applyNumberFormat="1" applyFont="1" applyFill="1" applyBorder="1" applyAlignment="1">
      <alignment horizontal="center"/>
    </xf>
    <xf numFmtId="3" fontId="9" fillId="6" borderId="50" xfId="0" applyNumberFormat="1" applyFont="1" applyFill="1" applyBorder="1" applyAlignment="1">
      <alignment horizontal="center"/>
    </xf>
    <xf numFmtId="164" fontId="9" fillId="6" borderId="51" xfId="0" applyNumberFormat="1" applyFont="1" applyFill="1" applyBorder="1" applyAlignment="1">
      <alignment horizontal="center"/>
    </xf>
    <xf numFmtId="164" fontId="9" fillId="6" borderId="101" xfId="0" applyNumberFormat="1" applyFont="1" applyFill="1" applyBorder="1" applyAlignment="1">
      <alignment horizontal="center"/>
    </xf>
    <xf numFmtId="169" fontId="9" fillId="8" borderId="29" xfId="3" applyNumberFormat="1" applyFont="1" applyFill="1" applyBorder="1" applyAlignment="1">
      <alignment horizontal="center"/>
    </xf>
    <xf numFmtId="169" fontId="9" fillId="8" borderId="51" xfId="3" applyNumberFormat="1" applyFont="1" applyFill="1" applyBorder="1" applyAlignment="1">
      <alignment horizontal="center"/>
    </xf>
    <xf numFmtId="3" fontId="9" fillId="8" borderId="51" xfId="0" applyNumberFormat="1" applyFont="1" applyFill="1" applyBorder="1" applyAlignment="1">
      <alignment horizontal="center"/>
    </xf>
    <xf numFmtId="3" fontId="9" fillId="8" borderId="35" xfId="0" applyNumberFormat="1" applyFont="1" applyFill="1" applyBorder="1" applyAlignment="1">
      <alignment horizontal="center"/>
    </xf>
    <xf numFmtId="164" fontId="9" fillId="8" borderId="29" xfId="0" applyNumberFormat="1" applyFont="1" applyFill="1" applyBorder="1" applyAlignment="1">
      <alignment horizontal="center"/>
    </xf>
    <xf numFmtId="0" fontId="3" fillId="5" borderId="84" xfId="0" applyFont="1" applyFill="1" applyBorder="1" applyAlignment="1">
      <alignment horizontal="center" wrapText="1"/>
    </xf>
    <xf numFmtId="0" fontId="3" fillId="5" borderId="13" xfId="0" applyFont="1" applyFill="1" applyBorder="1" applyAlignment="1">
      <alignment horizontal="center" wrapText="1"/>
    </xf>
    <xf numFmtId="0" fontId="2" fillId="5" borderId="33" xfId="0" applyFont="1" applyFill="1" applyBorder="1" applyAlignment="1">
      <alignment horizontal="center"/>
    </xf>
    <xf numFmtId="0" fontId="2" fillId="5" borderId="102" xfId="0" applyFont="1" applyFill="1" applyBorder="1" applyAlignment="1">
      <alignment horizontal="center"/>
    </xf>
    <xf numFmtId="0" fontId="2" fillId="5" borderId="100" xfId="0" applyFont="1" applyFill="1" applyBorder="1" applyAlignment="1">
      <alignment horizontal="center"/>
    </xf>
    <xf numFmtId="0" fontId="2" fillId="6" borderId="84" xfId="0" applyFont="1" applyFill="1" applyBorder="1" applyAlignment="1">
      <alignment horizontal="center"/>
    </xf>
    <xf numFmtId="0" fontId="2" fillId="6" borderId="12" xfId="0" applyFont="1" applyFill="1" applyBorder="1" applyAlignment="1">
      <alignment horizontal="center"/>
    </xf>
    <xf numFmtId="0" fontId="2" fillId="6" borderId="57" xfId="0" applyFont="1" applyFill="1" applyBorder="1" applyAlignment="1">
      <alignment horizontal="center"/>
    </xf>
    <xf numFmtId="0" fontId="2" fillId="8" borderId="12" xfId="0" applyFont="1" applyFill="1" applyBorder="1" applyAlignment="1">
      <alignment horizontal="center"/>
    </xf>
    <xf numFmtId="0" fontId="2" fillId="8" borderId="13" xfId="0" applyFont="1" applyFill="1" applyBorder="1" applyAlignment="1">
      <alignment horizontal="center"/>
    </xf>
    <xf numFmtId="3" fontId="5" fillId="2" borderId="29" xfId="0" applyNumberFormat="1" applyFont="1" applyFill="1" applyBorder="1" applyAlignment="1">
      <alignment horizontal="center"/>
    </xf>
    <xf numFmtId="0" fontId="5" fillId="2" borderId="51" xfId="0" applyFont="1" applyFill="1" applyBorder="1" applyAlignment="1">
      <alignment horizontal="center"/>
    </xf>
    <xf numFmtId="3" fontId="5" fillId="2" borderId="51" xfId="0" applyNumberFormat="1" applyFont="1" applyFill="1" applyBorder="1" applyAlignment="1">
      <alignment horizontal="center"/>
    </xf>
    <xf numFmtId="165" fontId="5" fillId="2" borderId="4" xfId="0" applyNumberFormat="1" applyFont="1" applyFill="1" applyBorder="1" applyAlignment="1">
      <alignment horizontal="center"/>
    </xf>
    <xf numFmtId="9" fontId="2" fillId="0" borderId="57" xfId="1" applyFont="1" applyBorder="1" applyAlignment="1">
      <alignment horizontal="center"/>
    </xf>
    <xf numFmtId="0" fontId="3" fillId="2" borderId="12" xfId="0" applyFont="1" applyFill="1" applyBorder="1" applyAlignment="1">
      <alignment horizontal="center" wrapText="1"/>
    </xf>
    <xf numFmtId="0" fontId="3" fillId="2" borderId="12" xfId="0" applyFont="1" applyFill="1" applyBorder="1" applyAlignment="1">
      <alignment horizontal="center"/>
    </xf>
    <xf numFmtId="0" fontId="3" fillId="2" borderId="57" xfId="0" applyFont="1" applyFill="1" applyBorder="1" applyAlignment="1">
      <alignment horizontal="center" wrapText="1"/>
    </xf>
    <xf numFmtId="3" fontId="5" fillId="3" borderId="50" xfId="0" applyNumberFormat="1" applyFont="1" applyFill="1" applyBorder="1" applyAlignment="1">
      <alignment horizontal="center" vertical="center"/>
    </xf>
    <xf numFmtId="3" fontId="5" fillId="3" borderId="51"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164" fontId="9" fillId="4" borderId="80" xfId="0" applyNumberFormat="1" applyFont="1" applyFill="1" applyBorder="1" applyAlignment="1">
      <alignment horizontal="center" vertical="center"/>
    </xf>
    <xf numFmtId="0" fontId="3" fillId="3" borderId="84" xfId="0" applyFont="1" applyFill="1" applyBorder="1" applyAlignment="1">
      <alignment horizontal="center"/>
    </xf>
    <xf numFmtId="0" fontId="3" fillId="3" borderId="12" xfId="0" applyFont="1" applyFill="1" applyBorder="1" applyAlignment="1">
      <alignment horizontal="center"/>
    </xf>
    <xf numFmtId="3" fontId="3" fillId="3" borderId="12" xfId="0" quotePrefix="1" applyNumberFormat="1" applyFont="1" applyFill="1" applyBorder="1" applyAlignment="1">
      <alignment horizontal="center"/>
    </xf>
    <xf numFmtId="0" fontId="3" fillId="3" borderId="12" xfId="0" applyFont="1" applyFill="1" applyBorder="1" applyAlignment="1">
      <alignment horizontal="center" wrapText="1"/>
    </xf>
    <xf numFmtId="0" fontId="3" fillId="3" borderId="12" xfId="0" quotePrefix="1" applyFont="1" applyFill="1" applyBorder="1" applyAlignment="1">
      <alignment horizontal="center" wrapText="1"/>
    </xf>
    <xf numFmtId="0" fontId="2" fillId="4" borderId="103" xfId="0" applyFont="1" applyFill="1" applyBorder="1" applyAlignment="1">
      <alignment horizontal="center" wrapText="1"/>
    </xf>
    <xf numFmtId="0" fontId="2" fillId="0" borderId="92" xfId="0" applyFont="1" applyBorder="1" applyAlignment="1">
      <alignment horizontal="right" indent="1"/>
    </xf>
    <xf numFmtId="1" fontId="2" fillId="0" borderId="12" xfId="0" applyNumberFormat="1" applyFont="1" applyBorder="1" applyAlignment="1">
      <alignment horizontal="center"/>
    </xf>
    <xf numFmtId="164" fontId="2" fillId="0" borderId="12" xfId="1" applyNumberFormat="1" applyFont="1" applyBorder="1" applyAlignment="1">
      <alignment horizontal="center"/>
    </xf>
    <xf numFmtId="1" fontId="2" fillId="0" borderId="11" xfId="0" applyNumberFormat="1" applyFont="1" applyBorder="1" applyAlignment="1">
      <alignment horizontal="center"/>
    </xf>
    <xf numFmtId="9" fontId="2" fillId="0" borderId="37" xfId="1" applyFont="1" applyBorder="1" applyAlignment="1">
      <alignment horizontal="center"/>
    </xf>
    <xf numFmtId="0" fontId="11" fillId="9" borderId="38" xfId="0" applyFont="1" applyFill="1" applyBorder="1" applyAlignment="1">
      <alignment horizontal="center" vertical="center"/>
    </xf>
    <xf numFmtId="0" fontId="11" fillId="9" borderId="39" xfId="0" applyFont="1" applyFill="1" applyBorder="1" applyAlignment="1">
      <alignment horizontal="center" vertical="center"/>
    </xf>
    <xf numFmtId="0" fontId="11" fillId="9" borderId="40" xfId="0" applyFont="1" applyFill="1" applyBorder="1" applyAlignment="1">
      <alignment horizontal="center" vertical="center"/>
    </xf>
    <xf numFmtId="0" fontId="19" fillId="9" borderId="41" xfId="0" applyFont="1" applyFill="1" applyBorder="1" applyAlignment="1">
      <alignment horizontal="left" vertical="center" wrapText="1"/>
    </xf>
    <xf numFmtId="0" fontId="19" fillId="9" borderId="42" xfId="0" applyFont="1" applyFill="1" applyBorder="1" applyAlignment="1">
      <alignment horizontal="left" vertical="center" wrapText="1"/>
    </xf>
    <xf numFmtId="0" fontId="19" fillId="9" borderId="43" xfId="0" applyFont="1" applyFill="1" applyBorder="1" applyAlignment="1">
      <alignment horizontal="left" vertical="center" wrapText="1"/>
    </xf>
    <xf numFmtId="0" fontId="12" fillId="15" borderId="25" xfId="0" applyFont="1" applyFill="1" applyBorder="1" applyAlignment="1">
      <alignment horizontal="center"/>
    </xf>
    <xf numFmtId="0" fontId="12" fillId="15" borderId="10" xfId="0" applyFont="1" applyFill="1" applyBorder="1" applyAlignment="1">
      <alignment horizontal="center"/>
    </xf>
    <xf numFmtId="0" fontId="12" fillId="11" borderId="1" xfId="0" applyFont="1" applyFill="1" applyBorder="1" applyAlignment="1">
      <alignment horizontal="center" vertical="center"/>
    </xf>
    <xf numFmtId="0" fontId="12" fillId="11" borderId="16" xfId="0" applyFont="1" applyFill="1" applyBorder="1" applyAlignment="1">
      <alignment horizontal="center" vertical="center"/>
    </xf>
    <xf numFmtId="0" fontId="12" fillId="11" borderId="2" xfId="0" applyFont="1" applyFill="1" applyBorder="1" applyAlignment="1">
      <alignment horizontal="center" vertical="center"/>
    </xf>
    <xf numFmtId="0" fontId="21" fillId="15" borderId="25" xfId="0" applyFont="1" applyFill="1" applyBorder="1" applyAlignment="1">
      <alignment horizontal="center"/>
    </xf>
    <xf numFmtId="0" fontId="19" fillId="9" borderId="44" xfId="0" applyFont="1" applyFill="1" applyBorder="1" applyAlignment="1">
      <alignment horizontal="left" vertical="center" wrapText="1"/>
    </xf>
    <xf numFmtId="0" fontId="10" fillId="9" borderId="46" xfId="0" applyFont="1" applyFill="1" applyBorder="1" applyAlignment="1">
      <alignment horizontal="left" vertical="center" wrapText="1"/>
    </xf>
    <xf numFmtId="0" fontId="15" fillId="13" borderId="1" xfId="0" applyFont="1" applyFill="1" applyBorder="1" applyAlignment="1" applyProtection="1">
      <alignment horizontal="center" vertical="center"/>
      <protection locked="0"/>
    </xf>
    <xf numFmtId="0" fontId="15" fillId="13" borderId="16" xfId="0" applyFont="1" applyFill="1" applyBorder="1" applyAlignment="1" applyProtection="1">
      <alignment horizontal="center" vertical="center"/>
      <protection locked="0"/>
    </xf>
    <xf numFmtId="0" fontId="15" fillId="13" borderId="2" xfId="0" applyFont="1" applyFill="1" applyBorder="1" applyAlignment="1" applyProtection="1">
      <alignment horizontal="center" vertical="center"/>
      <protection locked="0"/>
    </xf>
    <xf numFmtId="0" fontId="14" fillId="9" borderId="3" xfId="0" applyFont="1" applyFill="1" applyBorder="1" applyAlignment="1">
      <alignment horizontal="center" vertical="center"/>
    </xf>
    <xf numFmtId="0" fontId="14" fillId="9" borderId="0" xfId="0" applyFont="1" applyFill="1" applyAlignment="1">
      <alignment horizontal="center" vertical="center"/>
    </xf>
    <xf numFmtId="0" fontId="14" fillId="9" borderId="8" xfId="0" applyFont="1" applyFill="1" applyBorder="1" applyAlignment="1">
      <alignment horizontal="center" vertical="center"/>
    </xf>
    <xf numFmtId="0" fontId="12" fillId="13" borderId="1" xfId="0" applyFont="1" applyFill="1" applyBorder="1" applyAlignment="1">
      <alignment horizontal="center"/>
    </xf>
    <xf numFmtId="0" fontId="12" fillId="13" borderId="2" xfId="0" applyFont="1" applyFill="1" applyBorder="1" applyAlignment="1">
      <alignment horizontal="center"/>
    </xf>
    <xf numFmtId="0" fontId="12" fillId="12" borderId="16" xfId="0" applyFont="1" applyFill="1" applyBorder="1" applyAlignment="1">
      <alignment horizontal="center"/>
    </xf>
    <xf numFmtId="0" fontId="12" fillId="12" borderId="2" xfId="0" applyFont="1" applyFill="1" applyBorder="1" applyAlignment="1">
      <alignment horizontal="center"/>
    </xf>
    <xf numFmtId="0" fontId="8" fillId="2" borderId="0" xfId="0" applyFont="1" applyFill="1" applyAlignment="1">
      <alignment horizontal="center"/>
    </xf>
    <xf numFmtId="0" fontId="8" fillId="3" borderId="17" xfId="0" applyFont="1" applyFill="1" applyBorder="1" applyAlignment="1">
      <alignment horizontal="center"/>
    </xf>
    <xf numFmtId="0" fontId="8" fillId="3" borderId="0" xfId="0" applyFont="1" applyFill="1" applyAlignment="1">
      <alignment horizontal="center"/>
    </xf>
    <xf numFmtId="1" fontId="8" fillId="0" borderId="74" xfId="0" applyNumberFormat="1" applyFont="1" applyBorder="1" applyAlignment="1">
      <alignment horizontal="center"/>
    </xf>
    <xf numFmtId="1" fontId="8" fillId="0" borderId="75" xfId="0" applyNumberFormat="1" applyFont="1" applyBorder="1" applyAlignment="1">
      <alignment horizontal="center"/>
    </xf>
    <xf numFmtId="1" fontId="8" fillId="0" borderId="76" xfId="0" applyNumberFormat="1" applyFont="1" applyBorder="1" applyAlignment="1">
      <alignment horizontal="center"/>
    </xf>
    <xf numFmtId="0" fontId="8" fillId="8" borderId="74" xfId="0" applyFont="1" applyFill="1" applyBorder="1" applyAlignment="1">
      <alignment horizontal="center"/>
    </xf>
    <xf numFmtId="0" fontId="8" fillId="8" borderId="75" xfId="0" applyFont="1" applyFill="1" applyBorder="1" applyAlignment="1">
      <alignment horizontal="center"/>
    </xf>
    <xf numFmtId="0" fontId="8" fillId="8" borderId="76" xfId="0" applyFont="1" applyFill="1" applyBorder="1" applyAlignment="1">
      <alignment horizontal="center"/>
    </xf>
    <xf numFmtId="0" fontId="0" fillId="8" borderId="94" xfId="0" applyFill="1" applyBorder="1" applyAlignment="1">
      <alignment horizontal="center"/>
    </xf>
    <xf numFmtId="0" fontId="0" fillId="8" borderId="95" xfId="0" applyFill="1" applyBorder="1" applyAlignment="1">
      <alignment horizontal="center"/>
    </xf>
    <xf numFmtId="0" fontId="0" fillId="8" borderId="96" xfId="0" applyFill="1" applyBorder="1" applyAlignment="1">
      <alignment horizontal="center"/>
    </xf>
    <xf numFmtId="0" fontId="0" fillId="8" borderId="97" xfId="0" applyFill="1" applyBorder="1" applyAlignment="1">
      <alignment horizontal="center"/>
    </xf>
    <xf numFmtId="0" fontId="0" fillId="8" borderId="98" xfId="0" applyFill="1" applyBorder="1" applyAlignment="1">
      <alignment horizontal="center"/>
    </xf>
    <xf numFmtId="0" fontId="8" fillId="5" borderId="87" xfId="0" applyFont="1" applyFill="1" applyBorder="1" applyAlignment="1">
      <alignment horizontal="center" vertical="center"/>
    </xf>
    <xf numFmtId="0" fontId="8" fillId="5" borderId="88" xfId="0" applyFont="1" applyFill="1" applyBorder="1" applyAlignment="1">
      <alignment horizontal="center" vertical="center"/>
    </xf>
    <xf numFmtId="0" fontId="8" fillId="5" borderId="89" xfId="0" applyFont="1" applyFill="1" applyBorder="1" applyAlignment="1">
      <alignment horizontal="center" vertical="center"/>
    </xf>
    <xf numFmtId="0" fontId="8" fillId="6" borderId="74" xfId="0" applyFont="1" applyFill="1" applyBorder="1" applyAlignment="1">
      <alignment horizontal="center"/>
    </xf>
    <xf numFmtId="0" fontId="8" fillId="6" borderId="75" xfId="0" applyFont="1" applyFill="1" applyBorder="1" applyAlignment="1">
      <alignment horizontal="center"/>
    </xf>
    <xf numFmtId="0" fontId="8" fillId="6" borderId="76" xfId="0" applyFont="1" applyFill="1" applyBorder="1" applyAlignment="1">
      <alignment horizontal="center"/>
    </xf>
    <xf numFmtId="0" fontId="0" fillId="5" borderId="0" xfId="0" applyFill="1" applyAlignment="1">
      <alignment horizontal="center"/>
    </xf>
    <xf numFmtId="0" fontId="0" fillId="5" borderId="54" xfId="0" applyFill="1" applyBorder="1" applyAlignment="1">
      <alignment horizontal="center"/>
    </xf>
    <xf numFmtId="1" fontId="32" fillId="0" borderId="24" xfId="0" applyNumberFormat="1" applyFont="1" applyBorder="1" applyAlignment="1">
      <alignment horizontal="center"/>
    </xf>
    <xf numFmtId="1" fontId="32" fillId="0" borderId="23" xfId="0" applyNumberFormat="1" applyFont="1" applyBorder="1" applyAlignment="1">
      <alignment horizontal="center"/>
    </xf>
    <xf numFmtId="1" fontId="32" fillId="0" borderId="81" xfId="0" applyNumberFormat="1" applyFont="1" applyBorder="1" applyAlignment="1">
      <alignment horizontal="center"/>
    </xf>
    <xf numFmtId="1" fontId="14" fillId="0" borderId="24" xfId="0" applyNumberFormat="1" applyFont="1" applyBorder="1" applyAlignment="1">
      <alignment horizontal="center"/>
    </xf>
    <xf numFmtId="1" fontId="14" fillId="0" borderId="82" xfId="0" applyNumberFormat="1" applyFont="1" applyBorder="1" applyAlignment="1">
      <alignment horizontal="center"/>
    </xf>
    <xf numFmtId="1" fontId="14" fillId="0" borderId="81" xfId="0" applyNumberFormat="1" applyFont="1" applyBorder="1" applyAlignment="1">
      <alignment horizontal="center"/>
    </xf>
    <xf numFmtId="0" fontId="18" fillId="0" borderId="0" xfId="0" applyFont="1" applyBorder="1" applyAlignment="1">
      <alignment horizontal="left" vertical="center" wrapText="1"/>
    </xf>
    <xf numFmtId="0" fontId="0" fillId="7" borderId="105" xfId="0" applyFill="1" applyBorder="1" applyAlignment="1">
      <alignment wrapText="1"/>
    </xf>
    <xf numFmtId="0" fontId="0" fillId="7" borderId="104" xfId="0" applyFill="1" applyBorder="1" applyAlignment="1">
      <alignment wrapText="1"/>
    </xf>
    <xf numFmtId="0" fontId="19" fillId="9" borderId="0" xfId="0" applyFont="1" applyFill="1" applyBorder="1" applyAlignment="1">
      <alignment horizontal="left" vertical="center" wrapText="1"/>
    </xf>
    <xf numFmtId="0" fontId="19" fillId="9" borderId="107" xfId="0" applyFont="1" applyFill="1" applyBorder="1" applyAlignment="1">
      <alignment horizontal="left" vertical="center" wrapText="1"/>
    </xf>
    <xf numFmtId="0" fontId="18" fillId="0" borderId="107" xfId="0" applyFont="1" applyBorder="1" applyAlignment="1">
      <alignment horizontal="left" vertical="center" wrapText="1"/>
    </xf>
    <xf numFmtId="0" fontId="10" fillId="9" borderId="106" xfId="0" applyFont="1" applyFill="1" applyBorder="1" applyAlignment="1">
      <alignment horizontal="left" vertical="center" wrapText="1"/>
    </xf>
    <xf numFmtId="0" fontId="18" fillId="0" borderId="108" xfId="0" applyFont="1" applyBorder="1" applyAlignment="1">
      <alignment horizontal="lef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nces.ed.gov/programs/digest/d23/tables/dt23_101.40.asp" TargetMode="External"/><Relationship Id="rId1" Type="http://schemas.openxmlformats.org/officeDocument/2006/relationships/hyperlink" Target="https://nces.ed.gov/pubs2023/20231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7BB4-70DA-2A42-8DEF-D91274D189D0}">
  <dimension ref="A1:H39"/>
  <sheetViews>
    <sheetView tabSelected="1" zoomScale="110" zoomScaleNormal="110" workbookViewId="0">
      <selection activeCell="C3" sqref="C3:E3"/>
    </sheetView>
  </sheetViews>
  <sheetFormatPr baseColWidth="10" defaultColWidth="11" defaultRowHeight="16" x14ac:dyDescent="0.2"/>
  <cols>
    <col min="1" max="1" width="10.83203125" customWidth="1"/>
    <col min="2" max="6" width="18.83203125" customWidth="1"/>
    <col min="7" max="7" width="10.83203125" customWidth="1"/>
    <col min="8" max="8" width="100.6640625" customWidth="1"/>
  </cols>
  <sheetData>
    <row r="1" spans="1:8" ht="31.5" customHeight="1" thickBot="1" x14ac:dyDescent="0.25">
      <c r="A1" s="41"/>
      <c r="B1" s="281" t="s">
        <v>0</v>
      </c>
      <c r="C1" s="282"/>
      <c r="D1" s="282"/>
      <c r="E1" s="282"/>
      <c r="F1" s="283"/>
      <c r="G1" s="42"/>
      <c r="H1" s="33"/>
    </row>
    <row r="2" spans="1:8" ht="24" hidden="1" customHeight="1" thickBot="1" x14ac:dyDescent="0.25">
      <c r="A2" s="43"/>
      <c r="B2" s="40"/>
      <c r="C2" s="298"/>
      <c r="D2" s="299"/>
      <c r="E2" s="300"/>
      <c r="F2" s="44"/>
      <c r="G2" s="45"/>
    </row>
    <row r="3" spans="1:8" ht="24" customHeight="1" thickBot="1" x14ac:dyDescent="0.25">
      <c r="A3" s="43"/>
      <c r="B3" s="40"/>
      <c r="C3" s="295" t="s">
        <v>1</v>
      </c>
      <c r="D3" s="296"/>
      <c r="E3" s="297"/>
      <c r="F3" s="53" t="s">
        <v>126</v>
      </c>
      <c r="G3" s="45"/>
    </row>
    <row r="4" spans="1:8" ht="17" thickBot="1" x14ac:dyDescent="0.25">
      <c r="A4" s="43"/>
      <c r="B4" s="40"/>
      <c r="C4" s="40"/>
      <c r="D4" s="40"/>
      <c r="E4" s="40"/>
      <c r="F4" s="40"/>
      <c r="G4" s="45"/>
    </row>
    <row r="5" spans="1:8" ht="20" customHeight="1" x14ac:dyDescent="0.2">
      <c r="A5" s="43"/>
      <c r="B5" s="289" t="s">
        <v>2</v>
      </c>
      <c r="C5" s="290"/>
      <c r="D5" s="290"/>
      <c r="E5" s="290"/>
      <c r="F5" s="291"/>
      <c r="G5" s="45"/>
    </row>
    <row r="6" spans="1:8" ht="20" customHeight="1" x14ac:dyDescent="0.2">
      <c r="A6" s="43"/>
      <c r="B6" s="287" t="s">
        <v>3</v>
      </c>
      <c r="C6" s="301" t="str">
        <f>C3</f>
        <v>Alabama</v>
      </c>
      <c r="D6" s="302"/>
      <c r="E6" s="303" t="s">
        <v>4</v>
      </c>
      <c r="F6" s="304"/>
      <c r="G6" s="45"/>
    </row>
    <row r="7" spans="1:8" ht="20" customHeight="1" x14ac:dyDescent="0.2">
      <c r="A7" s="43"/>
      <c r="B7" s="288"/>
      <c r="C7" s="37" t="s">
        <v>122</v>
      </c>
      <c r="D7" s="29" t="s">
        <v>5</v>
      </c>
      <c r="E7" s="38" t="s">
        <v>122</v>
      </c>
      <c r="F7" s="31" t="s">
        <v>5</v>
      </c>
      <c r="G7" s="45"/>
    </row>
    <row r="8" spans="1:8" ht="20" customHeight="1" x14ac:dyDescent="0.2">
      <c r="A8" s="43"/>
      <c r="B8" s="39" t="s">
        <v>124</v>
      </c>
      <c r="C8" s="19">
        <f>VLOOKUP(C3,Data!B6:BL56,36,FALSE)</f>
        <v>748274</v>
      </c>
      <c r="D8" s="20">
        <f>VLOOKUP(C3,Data!B6:BL56,52,FALSE)</f>
        <v>0.92212559648233428</v>
      </c>
      <c r="E8" s="21">
        <f>SUM(Data!AK57)</f>
        <v>49342118</v>
      </c>
      <c r="F8" s="20">
        <f>SUM(Data!BA57)</f>
        <v>0.91250223918145934</v>
      </c>
      <c r="G8" s="45"/>
    </row>
    <row r="9" spans="1:8" ht="20" customHeight="1" x14ac:dyDescent="0.2">
      <c r="A9" s="43"/>
      <c r="B9" s="17" t="s">
        <v>6</v>
      </c>
      <c r="C9" s="16">
        <f>VLOOKUP(C3,Data!B6:BL56,40,FALSE)</f>
        <v>63192.467100000002</v>
      </c>
      <c r="D9" s="13">
        <f>VLOOKUP(C3,Data!B6:BB56,53,FALSE)</f>
        <v>7.7874403517665697E-2</v>
      </c>
      <c r="E9" s="15">
        <f>SUM(Data!AO57)</f>
        <v>4731303.281969998</v>
      </c>
      <c r="F9" s="13">
        <f>SUM(Data!BB57)</f>
        <v>8.7497760818540687E-2</v>
      </c>
      <c r="G9" s="45"/>
    </row>
    <row r="10" spans="1:8" ht="20" customHeight="1" x14ac:dyDescent="0.2">
      <c r="A10" s="43"/>
      <c r="B10" s="46"/>
      <c r="C10" s="47"/>
      <c r="D10" s="47"/>
      <c r="E10" s="47"/>
      <c r="F10" s="47"/>
      <c r="G10" s="45"/>
    </row>
    <row r="11" spans="1:8" ht="20" customHeight="1" x14ac:dyDescent="0.2">
      <c r="A11" s="43"/>
      <c r="B11" s="289" t="s">
        <v>7</v>
      </c>
      <c r="C11" s="290"/>
      <c r="D11" s="290"/>
      <c r="E11" s="290"/>
      <c r="F11" s="291"/>
      <c r="G11" s="45"/>
    </row>
    <row r="12" spans="1:8" ht="20" customHeight="1" x14ac:dyDescent="0.2">
      <c r="A12" s="43"/>
      <c r="B12" s="287" t="s">
        <v>3</v>
      </c>
      <c r="C12" s="301" t="str">
        <f>C3</f>
        <v>Alabama</v>
      </c>
      <c r="D12" s="302"/>
      <c r="E12" s="303" t="s">
        <v>4</v>
      </c>
      <c r="F12" s="304"/>
      <c r="G12" s="45"/>
    </row>
    <row r="13" spans="1:8" ht="20" customHeight="1" x14ac:dyDescent="0.2">
      <c r="A13" s="43"/>
      <c r="B13" s="288"/>
      <c r="C13" s="28" t="s">
        <v>8</v>
      </c>
      <c r="D13" s="29" t="s">
        <v>5</v>
      </c>
      <c r="E13" s="30" t="s">
        <v>8</v>
      </c>
      <c r="F13" s="31" t="s">
        <v>5</v>
      </c>
      <c r="G13" s="45"/>
    </row>
    <row r="14" spans="1:8" ht="20" customHeight="1" x14ac:dyDescent="0.2">
      <c r="A14" s="43"/>
      <c r="B14" s="39" t="s">
        <v>123</v>
      </c>
      <c r="C14" s="19">
        <f>VLOOKUP(C3,Data!B6:BB56,34,FALSE)</f>
        <v>1507</v>
      </c>
      <c r="D14" s="20">
        <f>_xlfn.SINGLE(SUM(C14/C16))</f>
        <v>0.80428357482583657</v>
      </c>
      <c r="E14" s="21">
        <f>SUM(Data!AI57)</f>
        <v>99271</v>
      </c>
      <c r="F14" s="20">
        <f>_xlfn.SINGLE(SUM(E14/E16))</f>
        <v>0.76955449687992716</v>
      </c>
      <c r="G14" s="45"/>
    </row>
    <row r="15" spans="1:8" ht="20" customHeight="1" thickBot="1" x14ac:dyDescent="0.25">
      <c r="A15" s="43"/>
      <c r="B15" s="17" t="s">
        <v>6</v>
      </c>
      <c r="C15" s="16">
        <f>VLOOKUP(C3,Data!B6:BB56,39,FALSE)</f>
        <v>366.71724</v>
      </c>
      <c r="D15" s="13">
        <f>_xlfn.SINGLE(SUM(C15/C16))</f>
        <v>0.19571642517416343</v>
      </c>
      <c r="E15" s="34">
        <f>_xlfn.SINGLE(SUM(Data!AN57))</f>
        <v>29727.011709999988</v>
      </c>
      <c r="F15" s="13">
        <f>_xlfn.SINGLE(SUM(E15/E16))</f>
        <v>0.23044550312007278</v>
      </c>
      <c r="G15" s="45"/>
    </row>
    <row r="16" spans="1:8" ht="20" hidden="1" customHeight="1" x14ac:dyDescent="0.2">
      <c r="A16" s="43"/>
      <c r="B16" s="48"/>
      <c r="C16" s="49">
        <f>_xlfn.SINGLE(SUM(C14:C15))</f>
        <v>1873.7172399999999</v>
      </c>
      <c r="D16" s="50"/>
      <c r="E16" s="49">
        <f>_xlfn.SINGLE(SUM(E14:E15))</f>
        <v>128998.01170999999</v>
      </c>
      <c r="F16" s="49"/>
      <c r="G16" s="45"/>
    </row>
    <row r="17" spans="1:7" ht="20" customHeight="1" thickBot="1" x14ac:dyDescent="0.25">
      <c r="A17" s="43"/>
      <c r="B17" s="46"/>
      <c r="C17" s="47"/>
      <c r="D17" s="47"/>
      <c r="E17" s="47"/>
      <c r="F17" s="47"/>
      <c r="G17" s="45"/>
    </row>
    <row r="18" spans="1:7" ht="20" customHeight="1" thickBot="1" x14ac:dyDescent="0.25">
      <c r="A18" s="43"/>
      <c r="B18" s="289" t="s">
        <v>9</v>
      </c>
      <c r="C18" s="290"/>
      <c r="D18" s="290"/>
      <c r="E18" s="290"/>
      <c r="F18" s="291"/>
      <c r="G18" s="45"/>
    </row>
    <row r="19" spans="1:7" ht="20" customHeight="1" x14ac:dyDescent="0.2">
      <c r="A19" s="43"/>
      <c r="B19" s="292" t="s">
        <v>125</v>
      </c>
      <c r="C19" s="301" t="str">
        <f>C3</f>
        <v>Alabama</v>
      </c>
      <c r="D19" s="302"/>
      <c r="E19" s="303" t="s">
        <v>4</v>
      </c>
      <c r="F19" s="304"/>
      <c r="G19" s="45"/>
    </row>
    <row r="20" spans="1:7" ht="20" customHeight="1" x14ac:dyDescent="0.2">
      <c r="A20" s="43"/>
      <c r="B20" s="288"/>
      <c r="C20" s="23" t="s">
        <v>8</v>
      </c>
      <c r="D20" s="24" t="s">
        <v>5</v>
      </c>
      <c r="E20" s="27" t="s">
        <v>8</v>
      </c>
      <c r="F20" s="26" t="s">
        <v>5</v>
      </c>
      <c r="G20" s="45"/>
    </row>
    <row r="21" spans="1:7" ht="33" customHeight="1" x14ac:dyDescent="0.2">
      <c r="A21" s="43"/>
      <c r="B21" s="32" t="s">
        <v>10</v>
      </c>
      <c r="C21" s="19">
        <f>VLOOKUP($C$3,Data!$B$6:$BL$56,28,FALSE)</f>
        <v>297.86099999999999</v>
      </c>
      <c r="D21" s="20">
        <f>VLOOKUP($C$3,Data!$B$6:$BL$56,29,FALSE)</f>
        <v>0.81223601940786549</v>
      </c>
      <c r="E21" s="21">
        <f>SUM(Data!AC57)</f>
        <v>24781.689000000002</v>
      </c>
      <c r="F21" s="20">
        <f>SUM(Data!AD57)</f>
        <v>0.8336421181547824</v>
      </c>
      <c r="G21" s="45"/>
    </row>
    <row r="22" spans="1:7" ht="37" customHeight="1" x14ac:dyDescent="0.2">
      <c r="A22" s="43"/>
      <c r="B22" s="14" t="s">
        <v>11</v>
      </c>
      <c r="C22" s="16">
        <f>VLOOKUP($C$3,Data!$B$6:$BL$56,30,FALSE)</f>
        <v>68.85629999999999</v>
      </c>
      <c r="D22" s="13">
        <f>VLOOKUP($C$3,Data!$B$6:$BL$56,31,FALSE)</f>
        <v>0.18776398059213459</v>
      </c>
      <c r="E22" s="15">
        <f>SUM(Data!AE57)</f>
        <v>4945.3227000000006</v>
      </c>
      <c r="F22" s="13">
        <f>SUM(Data!AF57)</f>
        <v>0.16635788184521758</v>
      </c>
      <c r="G22" s="45"/>
    </row>
    <row r="23" spans="1:7" ht="20" customHeight="1" x14ac:dyDescent="0.2">
      <c r="A23" s="43"/>
      <c r="B23" s="46"/>
      <c r="C23" s="47"/>
      <c r="D23" s="47"/>
      <c r="E23" s="47"/>
      <c r="F23" s="47"/>
      <c r="G23" s="45"/>
    </row>
    <row r="24" spans="1:7" ht="20" customHeight="1" x14ac:dyDescent="0.2">
      <c r="A24" s="43"/>
      <c r="B24" s="289" t="s">
        <v>12</v>
      </c>
      <c r="C24" s="290"/>
      <c r="D24" s="290"/>
      <c r="E24" s="290"/>
      <c r="F24" s="291"/>
      <c r="G24" s="45"/>
    </row>
    <row r="25" spans="1:7" ht="20" customHeight="1" x14ac:dyDescent="0.2">
      <c r="A25" s="43"/>
      <c r="B25" s="287" t="s">
        <v>138</v>
      </c>
      <c r="C25" s="301" t="str">
        <f>C3</f>
        <v>Alabama</v>
      </c>
      <c r="D25" s="302"/>
      <c r="E25" s="303" t="s">
        <v>4</v>
      </c>
      <c r="F25" s="304"/>
      <c r="G25" s="45"/>
    </row>
    <row r="26" spans="1:7" ht="20" customHeight="1" x14ac:dyDescent="0.2">
      <c r="A26" s="43"/>
      <c r="B26" s="288"/>
      <c r="C26" s="23" t="s">
        <v>8</v>
      </c>
      <c r="D26" s="24" t="s">
        <v>5</v>
      </c>
      <c r="E26" s="25" t="s">
        <v>8</v>
      </c>
      <c r="F26" s="26" t="s">
        <v>5</v>
      </c>
      <c r="G26" s="45"/>
    </row>
    <row r="27" spans="1:7" ht="20" customHeight="1" x14ac:dyDescent="0.2">
      <c r="A27" s="43"/>
      <c r="B27" s="22" t="s">
        <v>13</v>
      </c>
      <c r="C27" s="19">
        <f>VLOOKUP($C$3,Data!$B$6:$BL$56,56,FALSE)</f>
        <v>279.53989999999999</v>
      </c>
      <c r="D27" s="20">
        <f>VLOOKUP($C$3,Data!$B$6:$BL$56,61,FALSE)</f>
        <v>0.76227648989466545</v>
      </c>
      <c r="E27" s="21">
        <f>SUM(Data!BE57)</f>
        <v>19628.403399999996</v>
      </c>
      <c r="F27" s="20">
        <f>SUM(Data!BJ57)</f>
        <v>0.66028849654612098</v>
      </c>
      <c r="G27" s="45"/>
    </row>
    <row r="28" spans="1:7" ht="20" customHeight="1" x14ac:dyDescent="0.2">
      <c r="A28" s="43"/>
      <c r="B28" s="18" t="s">
        <v>14</v>
      </c>
      <c r="C28" s="16">
        <f>VLOOKUP($C$3,Data!$B$6:$BL$56,57,FALSE)</f>
        <v>87.177300000000002</v>
      </c>
      <c r="D28" s="13">
        <f>VLOOKUP($C$3,Data!$B$6:$BL$56,62,FALSE)</f>
        <v>0.23772351010533457</v>
      </c>
      <c r="E28" s="15">
        <f>SUM(Data!BF57)</f>
        <v>10098.607599999999</v>
      </c>
      <c r="F28" s="13">
        <f>SUM(Data!BK57)</f>
        <v>0.33971150345387907</v>
      </c>
      <c r="G28" s="45"/>
    </row>
    <row r="29" spans="1:7" ht="17" thickBot="1" x14ac:dyDescent="0.25">
      <c r="A29" s="43"/>
      <c r="B29" s="40"/>
      <c r="C29" s="40"/>
      <c r="D29" s="40"/>
      <c r="E29" s="40"/>
      <c r="F29" s="40"/>
      <c r="G29" s="45"/>
    </row>
    <row r="30" spans="1:7" s="33" customFormat="1" ht="21" customHeight="1" x14ac:dyDescent="0.2">
      <c r="A30" s="51"/>
      <c r="B30" s="284" t="s">
        <v>120</v>
      </c>
      <c r="C30" s="285"/>
      <c r="D30" s="285"/>
      <c r="E30" s="285"/>
      <c r="F30" s="286"/>
      <c r="G30" s="45"/>
    </row>
    <row r="31" spans="1:7" s="33" customFormat="1" ht="23" customHeight="1" x14ac:dyDescent="0.2">
      <c r="A31" s="51"/>
      <c r="B31" s="293" t="s">
        <v>121</v>
      </c>
      <c r="C31" s="336"/>
      <c r="D31" s="336"/>
      <c r="E31" s="336"/>
      <c r="F31" s="337"/>
      <c r="G31" s="45"/>
    </row>
    <row r="32" spans="1:7" s="33" customFormat="1" ht="62" customHeight="1" x14ac:dyDescent="0.2">
      <c r="A32" s="334"/>
      <c r="B32" s="340" t="s">
        <v>137</v>
      </c>
      <c r="C32" s="333"/>
      <c r="D32" s="333"/>
      <c r="E32" s="333"/>
      <c r="F32" s="338"/>
      <c r="G32" s="45"/>
    </row>
    <row r="33" spans="1:7" s="33" customFormat="1" ht="22" customHeight="1" x14ac:dyDescent="0.2">
      <c r="A33" s="334"/>
      <c r="B33" s="293" t="s">
        <v>139</v>
      </c>
      <c r="C33" s="336"/>
      <c r="D33" s="336"/>
      <c r="E33" s="336"/>
      <c r="F33" s="337"/>
      <c r="G33" s="45"/>
    </row>
    <row r="34" spans="1:7" s="33" customFormat="1" ht="65" customHeight="1" thickBot="1" x14ac:dyDescent="0.25">
      <c r="A34" s="335"/>
      <c r="B34" s="294" t="s">
        <v>15</v>
      </c>
      <c r="C34" s="294"/>
      <c r="D34" s="294"/>
      <c r="E34" s="294"/>
      <c r="F34" s="339"/>
      <c r="G34" s="52"/>
    </row>
    <row r="36" spans="1:7" x14ac:dyDescent="0.2">
      <c r="B36" s="35"/>
    </row>
    <row r="37" spans="1:7" x14ac:dyDescent="0.2">
      <c r="B37" s="35"/>
    </row>
    <row r="38" spans="1:7" x14ac:dyDescent="0.2">
      <c r="B38" s="36"/>
    </row>
    <row r="39" spans="1:7" x14ac:dyDescent="0.2">
      <c r="B39" s="36"/>
    </row>
  </sheetData>
  <sheetProtection algorithmName="SHA-512" hashValue="tgJgEM7E48cddm7s2+BbFLOwr5u6RWRcnxWlTy4ql5gSHgTPJYbgkwb+cRd7rRwMFLITJsR0FqMK2eLFw29IAA==" saltValue="D/cicNk0IJLOGqrhWMAWuw==" spinCount="100000" sheet="1" objects="1" scenarios="1"/>
  <mergeCells count="24">
    <mergeCell ref="B32:F32"/>
    <mergeCell ref="B31:F31"/>
    <mergeCell ref="B34:F34"/>
    <mergeCell ref="C3:E3"/>
    <mergeCell ref="C2:E2"/>
    <mergeCell ref="C25:D25"/>
    <mergeCell ref="E25:F25"/>
    <mergeCell ref="C19:D19"/>
    <mergeCell ref="E19:F19"/>
    <mergeCell ref="C12:D12"/>
    <mergeCell ref="E12:F12"/>
    <mergeCell ref="C6:D6"/>
    <mergeCell ref="E6:F6"/>
    <mergeCell ref="B18:F18"/>
    <mergeCell ref="B24:F24"/>
    <mergeCell ref="B33:F33"/>
    <mergeCell ref="B1:F1"/>
    <mergeCell ref="B30:F30"/>
    <mergeCell ref="B25:B26"/>
    <mergeCell ref="B5:F5"/>
    <mergeCell ref="B6:B7"/>
    <mergeCell ref="B12:B13"/>
    <mergeCell ref="B11:F11"/>
    <mergeCell ref="B19:B20"/>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D0A83464-5B3F-DD4C-8458-2974DFB6C265}">
          <x14:formula1>
            <xm:f>Data!$B$6:$B$56</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5043-4ADB-BB4F-8F9C-01A2C64F0BB8}">
  <dimension ref="A1:BN82"/>
  <sheetViews>
    <sheetView topLeftCell="A2" zoomScale="107" zoomScaleNormal="85" workbookViewId="0">
      <pane xSplit="2" ySplit="4" topLeftCell="C6" activePane="bottomRight" state="frozen"/>
      <selection pane="topRight" activeCell="C2" sqref="C2"/>
      <selection pane="bottomLeft" activeCell="A13" sqref="A13"/>
      <selection pane="bottomRight" activeCell="A62" sqref="A62:XFD62"/>
    </sheetView>
  </sheetViews>
  <sheetFormatPr baseColWidth="10" defaultColWidth="11" defaultRowHeight="16" x14ac:dyDescent="0.2"/>
  <cols>
    <col min="1" max="1" width="8.6640625"/>
    <col min="2" max="2" width="30.5" bestFit="1" customWidth="1"/>
    <col min="3" max="3" width="8.6640625" style="1"/>
    <col min="4" max="4" width="8.6640625" style="2"/>
    <col min="5" max="5" width="8.6640625" style="1"/>
    <col min="6" max="6" width="8.6640625" style="2"/>
    <col min="7" max="7" width="8.6640625" style="1"/>
    <col min="8" max="8" width="8.6640625" style="2"/>
    <col min="9" max="9" width="8.6640625" style="1"/>
    <col min="10" max="10" width="8.6640625" style="2"/>
    <col min="11" max="11" width="8.6640625" style="1"/>
    <col min="12" max="12" width="8.6640625" style="2"/>
    <col min="13" max="13" width="8.6640625" style="1"/>
    <col min="14" max="14" width="8.6640625" style="2"/>
    <col min="15" max="15" width="8.6640625" style="1"/>
    <col min="16" max="16" width="8.6640625" style="2"/>
    <col min="17" max="17" width="8.6640625" style="1"/>
    <col min="18" max="18" width="8.6640625" style="2"/>
    <col min="19" max="19" width="8.6640625" style="1"/>
    <col min="20" max="20" width="8.6640625" style="2"/>
    <col min="21" max="21" width="8.6640625" style="1"/>
    <col min="22" max="22" width="8.6640625" style="2"/>
    <col min="23" max="23" width="8.6640625" style="1"/>
    <col min="24" max="24" width="8.6640625" style="2"/>
    <col min="25" max="25" width="8.6640625" style="1"/>
    <col min="26" max="26" width="8.6640625" style="2"/>
    <col min="27" max="27" width="8.6640625" style="1"/>
    <col min="28" max="28" width="8.6640625" style="3"/>
    <col min="29" max="30" width="10.83203125" style="3"/>
    <col min="31" max="31" width="11.5" customWidth="1"/>
    <col min="35" max="35" width="18.5" customWidth="1"/>
    <col min="36" max="36" width="20.83203125" customWidth="1"/>
    <col min="37" max="37" width="14.5" customWidth="1"/>
    <col min="39" max="39" width="20.83203125" customWidth="1"/>
    <col min="43" max="43" width="15.1640625" customWidth="1"/>
    <col min="44" max="44" width="19.5" customWidth="1"/>
    <col min="45" max="45" width="17.6640625" customWidth="1"/>
    <col min="46" max="46" width="22.1640625" style="9" customWidth="1"/>
    <col min="47" max="47" width="20" customWidth="1"/>
    <col min="48" max="48" width="15.1640625" customWidth="1"/>
    <col min="49" max="49" width="17.5" customWidth="1"/>
    <col min="50" max="50" width="15.5" customWidth="1"/>
    <col min="52" max="52" width="16.5" customWidth="1"/>
    <col min="53" max="53" width="14.1640625" customWidth="1"/>
    <col min="54" max="54" width="13.83203125" customWidth="1"/>
    <col min="56" max="57" width="14.1640625" customWidth="1"/>
    <col min="58" max="58" width="12.6640625" customWidth="1"/>
    <col min="59" max="59" width="11.83203125" customWidth="1"/>
    <col min="61" max="63" width="13.1640625" customWidth="1"/>
    <col min="64" max="64" width="11.83203125" customWidth="1"/>
  </cols>
  <sheetData>
    <row r="1" spans="1:66" x14ac:dyDescent="0.2">
      <c r="A1" t="s">
        <v>16</v>
      </c>
      <c r="C1" s="5">
        <f t="shared" ref="C1:BL2" si="0">SUM(B1+1)</f>
        <v>1</v>
      </c>
      <c r="D1" s="5">
        <f t="shared" si="0"/>
        <v>2</v>
      </c>
      <c r="E1" s="5">
        <f t="shared" si="0"/>
        <v>3</v>
      </c>
      <c r="F1" s="5">
        <f t="shared" si="0"/>
        <v>4</v>
      </c>
      <c r="G1" s="5">
        <f t="shared" si="0"/>
        <v>5</v>
      </c>
      <c r="H1" s="5">
        <f t="shared" si="0"/>
        <v>6</v>
      </c>
      <c r="I1" s="5">
        <f t="shared" si="0"/>
        <v>7</v>
      </c>
      <c r="J1" s="5">
        <f t="shared" si="0"/>
        <v>8</v>
      </c>
      <c r="K1" s="5">
        <f t="shared" si="0"/>
        <v>9</v>
      </c>
      <c r="L1" s="5">
        <f t="shared" si="0"/>
        <v>10</v>
      </c>
      <c r="M1" s="5">
        <f t="shared" si="0"/>
        <v>11</v>
      </c>
      <c r="N1" s="5">
        <f t="shared" si="0"/>
        <v>12</v>
      </c>
      <c r="O1" s="5">
        <f t="shared" si="0"/>
        <v>13</v>
      </c>
      <c r="P1" s="5">
        <f t="shared" si="0"/>
        <v>14</v>
      </c>
      <c r="Q1" s="5">
        <f t="shared" si="0"/>
        <v>15</v>
      </c>
      <c r="R1" s="5">
        <f t="shared" si="0"/>
        <v>16</v>
      </c>
      <c r="S1" s="5">
        <f t="shared" si="0"/>
        <v>17</v>
      </c>
      <c r="T1" s="5">
        <f t="shared" si="0"/>
        <v>18</v>
      </c>
      <c r="U1" s="5">
        <f t="shared" si="0"/>
        <v>19</v>
      </c>
      <c r="V1" s="5">
        <f t="shared" si="0"/>
        <v>20</v>
      </c>
      <c r="W1" s="5">
        <f t="shared" si="0"/>
        <v>21</v>
      </c>
      <c r="X1" s="5">
        <f t="shared" si="0"/>
        <v>22</v>
      </c>
      <c r="Y1" s="5">
        <f t="shared" si="0"/>
        <v>23</v>
      </c>
      <c r="Z1" s="5">
        <f t="shared" si="0"/>
        <v>24</v>
      </c>
      <c r="AA1" s="5">
        <f t="shared" si="0"/>
        <v>25</v>
      </c>
      <c r="AB1" s="5">
        <f t="shared" si="0"/>
        <v>26</v>
      </c>
      <c r="AC1" s="5">
        <f t="shared" si="0"/>
        <v>27</v>
      </c>
      <c r="AD1" s="5">
        <f t="shared" si="0"/>
        <v>28</v>
      </c>
      <c r="AE1" s="5">
        <f t="shared" si="0"/>
        <v>29</v>
      </c>
      <c r="AF1" s="5">
        <f t="shared" si="0"/>
        <v>30</v>
      </c>
      <c r="AG1" s="5"/>
      <c r="AH1" s="5"/>
      <c r="AI1" s="5">
        <f>SUM(AF1+1)</f>
        <v>31</v>
      </c>
      <c r="AJ1" s="5">
        <f t="shared" si="0"/>
        <v>32</v>
      </c>
      <c r="AK1" s="5">
        <f t="shared" si="0"/>
        <v>33</v>
      </c>
      <c r="AL1" s="5">
        <f t="shared" si="0"/>
        <v>34</v>
      </c>
      <c r="AM1" s="5">
        <f t="shared" si="0"/>
        <v>35</v>
      </c>
      <c r="AN1" s="5">
        <f t="shared" si="0"/>
        <v>36</v>
      </c>
      <c r="AO1" s="5">
        <f t="shared" si="0"/>
        <v>37</v>
      </c>
      <c r="AP1" s="5">
        <f t="shared" si="0"/>
        <v>38</v>
      </c>
      <c r="AQ1" s="5"/>
      <c r="AR1" s="5">
        <f>SUM(AP1+1)</f>
        <v>39</v>
      </c>
      <c r="AS1" s="5">
        <f t="shared" si="0"/>
        <v>40</v>
      </c>
      <c r="AT1" s="5">
        <f t="shared" si="0"/>
        <v>41</v>
      </c>
      <c r="AU1" s="5">
        <f t="shared" si="0"/>
        <v>42</v>
      </c>
      <c r="AV1" s="5">
        <f t="shared" si="0"/>
        <v>43</v>
      </c>
      <c r="AW1" s="5">
        <f t="shared" si="0"/>
        <v>44</v>
      </c>
      <c r="AX1" s="5">
        <f t="shared" si="0"/>
        <v>45</v>
      </c>
      <c r="AY1" s="5">
        <f t="shared" si="0"/>
        <v>46</v>
      </c>
      <c r="AZ1" s="5">
        <f t="shared" si="0"/>
        <v>47</v>
      </c>
      <c r="BA1" s="5">
        <f t="shared" si="0"/>
        <v>48</v>
      </c>
      <c r="BB1" s="5">
        <f t="shared" si="0"/>
        <v>49</v>
      </c>
      <c r="BC1" s="5">
        <f t="shared" si="0"/>
        <v>50</v>
      </c>
      <c r="BD1" s="5">
        <f t="shared" si="0"/>
        <v>51</v>
      </c>
      <c r="BE1" s="5"/>
      <c r="BF1" s="5">
        <f>SUM(BD1+1)</f>
        <v>52</v>
      </c>
      <c r="BG1" s="5">
        <f t="shared" si="0"/>
        <v>53</v>
      </c>
      <c r="BH1" s="5">
        <f t="shared" si="0"/>
        <v>54</v>
      </c>
      <c r="BI1" s="5">
        <f t="shared" si="0"/>
        <v>55</v>
      </c>
      <c r="BJ1" s="5"/>
      <c r="BK1" s="5">
        <f>SUM(BI1+1)</f>
        <v>56</v>
      </c>
      <c r="BL1" s="5">
        <f t="shared" si="0"/>
        <v>57</v>
      </c>
    </row>
    <row r="2" spans="1:66" ht="17" thickBot="1" x14ac:dyDescent="0.25">
      <c r="A2">
        <v>1</v>
      </c>
      <c r="B2">
        <f>SUM(A2+1)</f>
        <v>2</v>
      </c>
      <c r="C2">
        <f t="shared" si="0"/>
        <v>3</v>
      </c>
      <c r="D2">
        <f t="shared" si="0"/>
        <v>4</v>
      </c>
      <c r="E2">
        <f t="shared" si="0"/>
        <v>5</v>
      </c>
      <c r="F2">
        <f t="shared" si="0"/>
        <v>6</v>
      </c>
      <c r="G2">
        <f t="shared" si="0"/>
        <v>7</v>
      </c>
      <c r="H2">
        <f t="shared" si="0"/>
        <v>8</v>
      </c>
      <c r="I2">
        <f t="shared" si="0"/>
        <v>9</v>
      </c>
      <c r="J2">
        <f t="shared" si="0"/>
        <v>10</v>
      </c>
      <c r="K2">
        <f t="shared" si="0"/>
        <v>11</v>
      </c>
      <c r="L2">
        <f t="shared" si="0"/>
        <v>12</v>
      </c>
      <c r="M2">
        <f t="shared" si="0"/>
        <v>13</v>
      </c>
      <c r="N2">
        <f t="shared" si="0"/>
        <v>14</v>
      </c>
      <c r="O2">
        <f t="shared" si="0"/>
        <v>15</v>
      </c>
      <c r="P2">
        <f t="shared" si="0"/>
        <v>16</v>
      </c>
      <c r="Q2">
        <f t="shared" si="0"/>
        <v>17</v>
      </c>
      <c r="R2">
        <f t="shared" si="0"/>
        <v>18</v>
      </c>
      <c r="S2">
        <f t="shared" si="0"/>
        <v>19</v>
      </c>
      <c r="T2">
        <f t="shared" si="0"/>
        <v>20</v>
      </c>
      <c r="U2">
        <f t="shared" si="0"/>
        <v>21</v>
      </c>
      <c r="V2">
        <f t="shared" si="0"/>
        <v>22</v>
      </c>
      <c r="W2">
        <f t="shared" si="0"/>
        <v>23</v>
      </c>
      <c r="X2">
        <f t="shared" si="0"/>
        <v>24</v>
      </c>
      <c r="Y2">
        <f t="shared" si="0"/>
        <v>25</v>
      </c>
      <c r="Z2">
        <f t="shared" si="0"/>
        <v>26</v>
      </c>
      <c r="AA2">
        <f t="shared" si="0"/>
        <v>27</v>
      </c>
      <c r="AB2">
        <f t="shared" si="0"/>
        <v>28</v>
      </c>
      <c r="AC2">
        <f t="shared" si="0"/>
        <v>29</v>
      </c>
      <c r="AD2">
        <f t="shared" si="0"/>
        <v>30</v>
      </c>
      <c r="AE2">
        <f t="shared" si="0"/>
        <v>31</v>
      </c>
      <c r="AF2">
        <f t="shared" si="0"/>
        <v>32</v>
      </c>
      <c r="AG2">
        <f t="shared" ref="AG2:AI2" si="1">SUM(AF2+1)</f>
        <v>33</v>
      </c>
      <c r="AH2">
        <f t="shared" si="1"/>
        <v>34</v>
      </c>
      <c r="AI2" s="62">
        <f t="shared" si="1"/>
        <v>35</v>
      </c>
      <c r="AJ2" s="62">
        <f t="shared" si="0"/>
        <v>36</v>
      </c>
      <c r="AK2" s="62">
        <f t="shared" si="0"/>
        <v>37</v>
      </c>
      <c r="AL2" s="62">
        <f t="shared" si="0"/>
        <v>38</v>
      </c>
      <c r="AM2" s="62">
        <f t="shared" si="0"/>
        <v>39</v>
      </c>
      <c r="AN2" s="62">
        <f t="shared" si="0"/>
        <v>40</v>
      </c>
      <c r="AO2" s="62">
        <f t="shared" si="0"/>
        <v>41</v>
      </c>
      <c r="AP2" s="62">
        <f t="shared" si="0"/>
        <v>42</v>
      </c>
      <c r="AQ2" s="62">
        <f t="shared" ref="AQ2:AR2" si="2">SUM(AP2+1)</f>
        <v>43</v>
      </c>
      <c r="AR2" s="62">
        <f t="shared" si="2"/>
        <v>44</v>
      </c>
      <c r="AS2" s="62">
        <f t="shared" si="0"/>
        <v>45</v>
      </c>
      <c r="AT2" s="62">
        <f t="shared" si="0"/>
        <v>46</v>
      </c>
      <c r="AU2" s="62">
        <f t="shared" si="0"/>
        <v>47</v>
      </c>
      <c r="AV2" s="62">
        <f t="shared" si="0"/>
        <v>48</v>
      </c>
      <c r="AW2" s="62">
        <f t="shared" si="0"/>
        <v>49</v>
      </c>
      <c r="AX2" s="62">
        <f t="shared" si="0"/>
        <v>50</v>
      </c>
      <c r="AY2" s="62">
        <f t="shared" si="0"/>
        <v>51</v>
      </c>
      <c r="AZ2" s="62">
        <f t="shared" si="0"/>
        <v>52</v>
      </c>
      <c r="BA2" s="62">
        <f t="shared" si="0"/>
        <v>53</v>
      </c>
      <c r="BB2" s="62">
        <f t="shared" si="0"/>
        <v>54</v>
      </c>
      <c r="BC2" s="62">
        <f t="shared" si="0"/>
        <v>55</v>
      </c>
      <c r="BD2" s="62">
        <f t="shared" si="0"/>
        <v>56</v>
      </c>
      <c r="BE2" s="62">
        <f t="shared" ref="BE2:BF2" si="3">SUM(BD2+1)</f>
        <v>57</v>
      </c>
      <c r="BF2" s="62">
        <f t="shared" si="3"/>
        <v>58</v>
      </c>
      <c r="BG2" s="62">
        <f t="shared" si="0"/>
        <v>59</v>
      </c>
      <c r="BH2" s="62">
        <f t="shared" si="0"/>
        <v>60</v>
      </c>
      <c r="BI2" s="62">
        <f t="shared" si="0"/>
        <v>61</v>
      </c>
      <c r="BJ2" s="62">
        <f t="shared" ref="BJ2:BK2" si="4">SUM(BI2+1)</f>
        <v>62</v>
      </c>
      <c r="BK2" s="62">
        <f t="shared" si="4"/>
        <v>63</v>
      </c>
      <c r="BL2" s="62">
        <f t="shared" si="0"/>
        <v>64</v>
      </c>
    </row>
    <row r="3" spans="1:66" s="11" customFormat="1" ht="20" customHeight="1" thickTop="1" thickBot="1" x14ac:dyDescent="0.3">
      <c r="B3" s="66"/>
      <c r="C3" s="308" t="s">
        <v>17</v>
      </c>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10"/>
      <c r="AI3" s="305" t="s">
        <v>133</v>
      </c>
      <c r="AJ3" s="305"/>
      <c r="AK3" s="305"/>
      <c r="AL3" s="305"/>
      <c r="AM3" s="305"/>
      <c r="AN3" s="306" t="s">
        <v>19</v>
      </c>
      <c r="AO3" s="307"/>
      <c r="AP3" s="307"/>
      <c r="AQ3" s="307"/>
      <c r="AR3" s="307"/>
      <c r="AS3" s="61" t="s">
        <v>20</v>
      </c>
      <c r="AT3" s="319" t="s">
        <v>129</v>
      </c>
      <c r="AU3" s="320"/>
      <c r="AV3" s="320"/>
      <c r="AW3" s="320"/>
      <c r="AX3" s="320"/>
      <c r="AY3" s="321"/>
      <c r="AZ3" s="322" t="s">
        <v>131</v>
      </c>
      <c r="BA3" s="323"/>
      <c r="BB3" s="324"/>
      <c r="BC3" s="311" t="s">
        <v>21</v>
      </c>
      <c r="BD3" s="312"/>
      <c r="BE3" s="312"/>
      <c r="BF3" s="312"/>
      <c r="BG3" s="312"/>
      <c r="BH3" s="312"/>
      <c r="BI3" s="312"/>
      <c r="BJ3" s="312"/>
      <c r="BK3" s="312"/>
      <c r="BL3" s="313"/>
    </row>
    <row r="4" spans="1:66" ht="20" customHeight="1" thickTop="1" x14ac:dyDescent="0.2">
      <c r="A4" s="64"/>
      <c r="B4" s="193"/>
      <c r="C4" s="327" t="s">
        <v>22</v>
      </c>
      <c r="D4" s="327"/>
      <c r="E4" s="328" t="s">
        <v>23</v>
      </c>
      <c r="F4" s="327"/>
      <c r="G4" s="328" t="s">
        <v>24</v>
      </c>
      <c r="H4" s="327"/>
      <c r="I4" s="328" t="s">
        <v>25</v>
      </c>
      <c r="J4" s="329"/>
      <c r="K4" s="328" t="s">
        <v>26</v>
      </c>
      <c r="L4" s="327"/>
      <c r="M4" s="328" t="s">
        <v>27</v>
      </c>
      <c r="N4" s="327"/>
      <c r="O4" s="328" t="s">
        <v>28</v>
      </c>
      <c r="P4" s="327"/>
      <c r="Q4" s="328" t="s">
        <v>29</v>
      </c>
      <c r="R4" s="327"/>
      <c r="S4" s="328" t="s">
        <v>30</v>
      </c>
      <c r="T4" s="327"/>
      <c r="U4" s="328" t="s">
        <v>31</v>
      </c>
      <c r="V4" s="327"/>
      <c r="W4" s="328" t="s">
        <v>32</v>
      </c>
      <c r="X4" s="327"/>
      <c r="Y4" s="328" t="s">
        <v>33</v>
      </c>
      <c r="Z4" s="327"/>
      <c r="AA4" s="328" t="s">
        <v>34</v>
      </c>
      <c r="AB4" s="329"/>
      <c r="AC4" s="327" t="s">
        <v>10</v>
      </c>
      <c r="AD4" s="329"/>
      <c r="AE4" s="330" t="s">
        <v>134</v>
      </c>
      <c r="AF4" s="332"/>
      <c r="AG4" s="330" t="s">
        <v>35</v>
      </c>
      <c r="AH4" s="331"/>
      <c r="AI4" s="226"/>
      <c r="AJ4" s="227"/>
      <c r="AK4" s="227"/>
      <c r="AL4" s="227"/>
      <c r="AM4" s="228"/>
      <c r="AN4" s="229"/>
      <c r="AO4" s="230"/>
      <c r="AP4" s="230"/>
      <c r="AQ4" s="230"/>
      <c r="AR4" s="224"/>
      <c r="AS4" s="225"/>
      <c r="AT4" s="219"/>
      <c r="AU4" s="220"/>
      <c r="AV4" s="325" t="s">
        <v>132</v>
      </c>
      <c r="AW4" s="325"/>
      <c r="AX4" s="325"/>
      <c r="AY4" s="326"/>
      <c r="AZ4" s="221"/>
      <c r="BA4" s="222"/>
      <c r="BB4" s="223"/>
      <c r="BC4" s="314" t="s">
        <v>36</v>
      </c>
      <c r="BD4" s="315"/>
      <c r="BE4" s="315"/>
      <c r="BF4" s="315"/>
      <c r="BG4" s="316"/>
      <c r="BH4" s="317" t="s">
        <v>37</v>
      </c>
      <c r="BI4" s="315"/>
      <c r="BJ4" s="315"/>
      <c r="BK4" s="315"/>
      <c r="BL4" s="318"/>
    </row>
    <row r="5" spans="1:66" ht="39" customHeight="1" thickBot="1" x14ac:dyDescent="0.25">
      <c r="A5" s="64"/>
      <c r="B5" s="276" t="s">
        <v>38</v>
      </c>
      <c r="C5" s="277" t="s">
        <v>39</v>
      </c>
      <c r="D5" s="278" t="s">
        <v>40</v>
      </c>
      <c r="E5" s="279" t="s">
        <v>39</v>
      </c>
      <c r="F5" s="278" t="s">
        <v>40</v>
      </c>
      <c r="G5" s="279" t="s">
        <v>39</v>
      </c>
      <c r="H5" s="278" t="s">
        <v>40</v>
      </c>
      <c r="I5" s="279" t="s">
        <v>39</v>
      </c>
      <c r="J5" s="278" t="s">
        <v>40</v>
      </c>
      <c r="K5" s="279" t="s">
        <v>39</v>
      </c>
      <c r="L5" s="278" t="s">
        <v>40</v>
      </c>
      <c r="M5" s="279" t="s">
        <v>39</v>
      </c>
      <c r="N5" s="278" t="s">
        <v>40</v>
      </c>
      <c r="O5" s="279" t="s">
        <v>39</v>
      </c>
      <c r="P5" s="278" t="s">
        <v>40</v>
      </c>
      <c r="Q5" s="279" t="s">
        <v>39</v>
      </c>
      <c r="R5" s="278" t="s">
        <v>40</v>
      </c>
      <c r="S5" s="279" t="s">
        <v>39</v>
      </c>
      <c r="T5" s="278" t="s">
        <v>40</v>
      </c>
      <c r="U5" s="279" t="s">
        <v>39</v>
      </c>
      <c r="V5" s="278" t="s">
        <v>40</v>
      </c>
      <c r="W5" s="279" t="s">
        <v>39</v>
      </c>
      <c r="X5" s="278" t="s">
        <v>40</v>
      </c>
      <c r="Y5" s="279" t="s">
        <v>39</v>
      </c>
      <c r="Z5" s="278" t="s">
        <v>40</v>
      </c>
      <c r="AA5" s="279" t="s">
        <v>39</v>
      </c>
      <c r="AB5" s="280" t="s">
        <v>40</v>
      </c>
      <c r="AC5" s="277" t="s">
        <v>39</v>
      </c>
      <c r="AD5" s="280" t="s">
        <v>40</v>
      </c>
      <c r="AE5" s="277" t="s">
        <v>39</v>
      </c>
      <c r="AF5" s="280" t="s">
        <v>40</v>
      </c>
      <c r="AG5" s="277" t="s">
        <v>39</v>
      </c>
      <c r="AH5" s="262" t="s">
        <v>40</v>
      </c>
      <c r="AI5" s="263" t="s">
        <v>41</v>
      </c>
      <c r="AJ5" s="263" t="s">
        <v>42</v>
      </c>
      <c r="AK5" s="263" t="s">
        <v>43</v>
      </c>
      <c r="AL5" s="264" t="s">
        <v>44</v>
      </c>
      <c r="AM5" s="265" t="s">
        <v>45</v>
      </c>
      <c r="AN5" s="270" t="s">
        <v>46</v>
      </c>
      <c r="AO5" s="271" t="s">
        <v>47</v>
      </c>
      <c r="AP5" s="272" t="s">
        <v>48</v>
      </c>
      <c r="AQ5" s="273" t="s">
        <v>45</v>
      </c>
      <c r="AR5" s="274" t="s">
        <v>49</v>
      </c>
      <c r="AS5" s="275" t="s">
        <v>136</v>
      </c>
      <c r="AT5" s="248" t="s">
        <v>50</v>
      </c>
      <c r="AU5" s="249" t="s">
        <v>51</v>
      </c>
      <c r="AV5" s="250" t="s">
        <v>52</v>
      </c>
      <c r="AW5" s="251" t="s">
        <v>53</v>
      </c>
      <c r="AX5" s="251" t="s">
        <v>54</v>
      </c>
      <c r="AY5" s="252"/>
      <c r="AZ5" s="253" t="s">
        <v>34</v>
      </c>
      <c r="BA5" s="254" t="s">
        <v>55</v>
      </c>
      <c r="BB5" s="255" t="s">
        <v>6</v>
      </c>
      <c r="BC5" s="256" t="s">
        <v>56</v>
      </c>
      <c r="BD5" s="256" t="s">
        <v>57</v>
      </c>
      <c r="BE5" s="256" t="s">
        <v>58</v>
      </c>
      <c r="BF5" s="256" t="s">
        <v>14</v>
      </c>
      <c r="BG5" s="257" t="s">
        <v>34</v>
      </c>
      <c r="BH5" s="256" t="s">
        <v>56</v>
      </c>
      <c r="BI5" s="256" t="s">
        <v>57</v>
      </c>
      <c r="BJ5" s="233" t="s">
        <v>58</v>
      </c>
      <c r="BK5" s="233" t="s">
        <v>14</v>
      </c>
      <c r="BL5" s="234" t="s">
        <v>34</v>
      </c>
    </row>
    <row r="6" spans="1:66" x14ac:dyDescent="0.2">
      <c r="A6" s="64"/>
      <c r="B6" s="199" t="s">
        <v>1</v>
      </c>
      <c r="C6" s="190">
        <v>0</v>
      </c>
      <c r="D6" s="95">
        <v>0</v>
      </c>
      <c r="E6" s="94">
        <v>112.78789999999999</v>
      </c>
      <c r="F6" s="95">
        <v>0.30759999999999998</v>
      </c>
      <c r="G6" s="94">
        <v>43.0229</v>
      </c>
      <c r="H6" s="95">
        <v>0.1173</v>
      </c>
      <c r="I6" s="94">
        <v>72.724199999999996</v>
      </c>
      <c r="J6" s="95">
        <v>0.1983</v>
      </c>
      <c r="K6" s="94">
        <v>2.6354000000000002</v>
      </c>
      <c r="L6" s="95">
        <v>7.1999999999999998E-3</v>
      </c>
      <c r="M6" s="94">
        <v>5.4139999999999997</v>
      </c>
      <c r="N6" s="95">
        <v>1.4800000000000001E-2</v>
      </c>
      <c r="O6" s="94">
        <v>6.0651999999999999</v>
      </c>
      <c r="P6" s="95">
        <v>1.6500000000000001E-2</v>
      </c>
      <c r="Q6" s="94">
        <v>22.500699999999998</v>
      </c>
      <c r="R6" s="95">
        <v>6.1400000000000003E-2</v>
      </c>
      <c r="S6" s="94">
        <v>1.4286000000000001</v>
      </c>
      <c r="T6" s="95">
        <v>3.8999999999999998E-3</v>
      </c>
      <c r="U6" s="94">
        <v>55.211399999999998</v>
      </c>
      <c r="V6" s="95">
        <v>0.15060000000000001</v>
      </c>
      <c r="W6" s="94">
        <v>33.563499999999998</v>
      </c>
      <c r="X6" s="95">
        <v>9.1499999999999998E-2</v>
      </c>
      <c r="Y6" s="94">
        <v>11.3635</v>
      </c>
      <c r="Z6" s="95">
        <v>3.1E-2</v>
      </c>
      <c r="AA6" s="96">
        <f>SUM(C6,E6,G6,I6,K6,M6,O6,Q6,S6,U6,W6,Y6)</f>
        <v>366.71729999999997</v>
      </c>
      <c r="AB6" s="119">
        <v>1</v>
      </c>
      <c r="AC6" s="97">
        <f>SUM(C6,E6,G6,I6,K6,M6,O6,U6)</f>
        <v>297.86099999999999</v>
      </c>
      <c r="AD6" s="98">
        <f>SUM(AC6/AA6)</f>
        <v>0.81223601940786549</v>
      </c>
      <c r="AE6" s="99">
        <f>SUM(Q6,S6,W6,Y6)</f>
        <v>68.85629999999999</v>
      </c>
      <c r="AF6" s="100">
        <f>SUM(AE6/AA6)</f>
        <v>0.18776398059213459</v>
      </c>
      <c r="AG6" s="99">
        <f>SUM(S6,Y6)</f>
        <v>12.7921</v>
      </c>
      <c r="AH6" s="101">
        <f>SUM(AG6/AA6)</f>
        <v>3.48827284668599E-2</v>
      </c>
      <c r="AI6" s="258">
        <v>1507</v>
      </c>
      <c r="AJ6" s="259">
        <v>152</v>
      </c>
      <c r="AK6" s="260">
        <v>748274</v>
      </c>
      <c r="AL6" s="260">
        <v>38835.49</v>
      </c>
      <c r="AM6" s="261">
        <v>19.267788303945697</v>
      </c>
      <c r="AN6" s="266">
        <v>366.71724</v>
      </c>
      <c r="AO6" s="267">
        <v>63192.467100000002</v>
      </c>
      <c r="AP6" s="267">
        <v>6171.3694800000003</v>
      </c>
      <c r="AQ6" s="54">
        <f>SUM(AO6/AP6)</f>
        <v>10.239618176288483</v>
      </c>
      <c r="AR6" s="268">
        <v>4792.4935500000001</v>
      </c>
      <c r="AS6" s="269">
        <f>SUM(AA6/AN6)</f>
        <v>1.0000001636137967</v>
      </c>
      <c r="AT6" s="235">
        <v>819.84799999999996</v>
      </c>
      <c r="AU6" s="236">
        <f t="shared" ref="AU6:AU37" si="5">SUM(AT6*1000)</f>
        <v>819848</v>
      </c>
      <c r="AV6" s="237">
        <f>SUM(AK6/AU6)</f>
        <v>0.91269845142026329</v>
      </c>
      <c r="AW6" s="238">
        <f>SUM(AO6/AU6)</f>
        <v>7.7078271947970844E-2</v>
      </c>
      <c r="AX6" s="238">
        <f>SUM(1-AY6)</f>
        <v>1.022327663176581E-2</v>
      </c>
      <c r="AY6" s="239">
        <f>SUM(AV6:AW6)</f>
        <v>0.98977672336823419</v>
      </c>
      <c r="AZ6" s="240">
        <f>SUM(AO6+AK6)</f>
        <v>811466.46710000001</v>
      </c>
      <c r="BA6" s="241">
        <f>SUM(AK6/AZ6)</f>
        <v>0.92212559648233428</v>
      </c>
      <c r="BB6" s="242">
        <f>SUM(AO6/AZ6)</f>
        <v>7.7874403517665697E-2</v>
      </c>
      <c r="BC6" s="243">
        <v>42.951300000000003</v>
      </c>
      <c r="BD6" s="244">
        <v>236.58860000000001</v>
      </c>
      <c r="BE6" s="245">
        <f>SUM(BC6:BD6)</f>
        <v>279.53989999999999</v>
      </c>
      <c r="BF6" s="244">
        <v>87.177300000000002</v>
      </c>
      <c r="BG6" s="246">
        <f>SUM(BE6:BF6)</f>
        <v>366.71719999999999</v>
      </c>
      <c r="BH6" s="247">
        <f>SUM(BC6/BG6)</f>
        <v>0.11712376730625126</v>
      </c>
      <c r="BI6" s="231">
        <f>SUM(BD6/BG6)</f>
        <v>0.64515272258841427</v>
      </c>
      <c r="BJ6" s="231">
        <f>SUM(BE6/BG6)</f>
        <v>0.76227648989466545</v>
      </c>
      <c r="BK6" s="231">
        <f>SUM(BF6/BG6)</f>
        <v>0.23772351010533457</v>
      </c>
      <c r="BL6" s="232">
        <f>SUM(BG6/BG6)</f>
        <v>1</v>
      </c>
      <c r="BN6" s="10"/>
    </row>
    <row r="7" spans="1:66" x14ac:dyDescent="0.2">
      <c r="A7" s="64"/>
      <c r="B7" s="199" t="s">
        <v>59</v>
      </c>
      <c r="C7" s="190">
        <v>12.494</v>
      </c>
      <c r="D7" s="95">
        <v>0.32869999999999999</v>
      </c>
      <c r="E7" s="94">
        <v>0</v>
      </c>
      <c r="F7" s="95">
        <v>0</v>
      </c>
      <c r="G7" s="94">
        <v>5.4324000000000003</v>
      </c>
      <c r="H7" s="95">
        <v>0.1429</v>
      </c>
      <c r="I7" s="94">
        <v>0</v>
      </c>
      <c r="J7" s="95">
        <v>0</v>
      </c>
      <c r="K7" s="94">
        <v>0</v>
      </c>
      <c r="L7" s="95">
        <v>0</v>
      </c>
      <c r="M7" s="94">
        <v>2.2742</v>
      </c>
      <c r="N7" s="95">
        <v>5.9799999999999999E-2</v>
      </c>
      <c r="O7" s="94">
        <v>3.8883000000000001</v>
      </c>
      <c r="P7" s="95">
        <v>0.1023</v>
      </c>
      <c r="Q7" s="94">
        <v>1.1765000000000001</v>
      </c>
      <c r="R7" s="95">
        <v>3.1E-2</v>
      </c>
      <c r="S7" s="94">
        <v>2.5428999999999999</v>
      </c>
      <c r="T7" s="95">
        <v>6.6900000000000001E-2</v>
      </c>
      <c r="U7" s="94">
        <v>5.2876000000000003</v>
      </c>
      <c r="V7" s="95">
        <v>0.1391</v>
      </c>
      <c r="W7" s="94">
        <v>1</v>
      </c>
      <c r="X7" s="95">
        <v>2.63E-2</v>
      </c>
      <c r="Y7" s="94">
        <v>3.9136000000000002</v>
      </c>
      <c r="Z7" s="95">
        <v>0.10299999999999999</v>
      </c>
      <c r="AA7" s="96">
        <f t="shared" ref="AA7:AA57" si="6">SUM(C7,E7,G7,I7,K7,M7,O7,Q7,S7,U7,W7,Y7)</f>
        <v>38.009500000000003</v>
      </c>
      <c r="AB7" s="119">
        <v>1</v>
      </c>
      <c r="AC7" s="97">
        <f t="shared" ref="AC7:AC57" si="7">SUM(C7,E7,G7,I7,K7,M7,O7,U7)</f>
        <v>29.376500000000004</v>
      </c>
      <c r="AD7" s="98">
        <f t="shared" ref="AD7:AD57" si="8">SUM(AC7/AA7)</f>
        <v>0.77287257133085152</v>
      </c>
      <c r="AE7" s="99">
        <f t="shared" ref="AE7:AE57" si="9">SUM(Q7,S7,W7,Y7)</f>
        <v>8.6330000000000009</v>
      </c>
      <c r="AF7" s="100">
        <f t="shared" ref="AF7:AF57" si="10">SUM(AE7/AA7)</f>
        <v>0.22712742866914851</v>
      </c>
      <c r="AG7" s="99">
        <f t="shared" ref="AG7:AG57" si="11">SUM(S7,Y7)</f>
        <v>6.4565000000000001</v>
      </c>
      <c r="AH7" s="101">
        <f t="shared" ref="AH7:AH57" si="12">SUM(AG7/AA7)</f>
        <v>0.16986542837974716</v>
      </c>
      <c r="AI7" s="120">
        <v>500</v>
      </c>
      <c r="AJ7" s="103">
        <v>54</v>
      </c>
      <c r="AK7" s="104">
        <v>129944</v>
      </c>
      <c r="AL7" s="104">
        <v>7245.64</v>
      </c>
      <c r="AM7" s="105">
        <v>17.934095538834388</v>
      </c>
      <c r="AN7" s="6">
        <v>38.009549999999997</v>
      </c>
      <c r="AO7" s="7">
        <v>4467.7359800000004</v>
      </c>
      <c r="AP7" s="7">
        <v>455.98899</v>
      </c>
      <c r="AQ7" s="12">
        <f t="shared" ref="AQ7:AQ56" si="13">SUM(AO7/AP7)</f>
        <v>9.7979031906011596</v>
      </c>
      <c r="AR7" s="58" t="s">
        <v>60</v>
      </c>
      <c r="AS7" s="106">
        <f t="shared" ref="AS7:AS57" si="14">SUM(AA7/AN7)</f>
        <v>0.99999868454112206</v>
      </c>
      <c r="AT7" s="60">
        <v>129.828</v>
      </c>
      <c r="AU7" s="107">
        <f t="shared" si="5"/>
        <v>129828</v>
      </c>
      <c r="AV7" s="108">
        <f t="shared" ref="AV7:AV56" si="15">SUM(AK7/AU7)</f>
        <v>1.0008934898481068</v>
      </c>
      <c r="AW7" s="109">
        <f t="shared" ref="AW7:AW56" si="16">SUM(AO7/AU7)</f>
        <v>3.4412730535785814E-2</v>
      </c>
      <c r="AX7" s="109">
        <f t="shared" ref="AX7:AX57" si="17">SUM(1-AY7)</f>
        <v>-3.5306220383892528E-2</v>
      </c>
      <c r="AY7" s="110">
        <f t="shared" ref="AY7:AY56" si="18">SUM(AV7:AW7)</f>
        <v>1.0353062203838925</v>
      </c>
      <c r="AZ7" s="111">
        <f t="shared" ref="AZ7:AZ56" si="19">SUM(AO7+AK7)</f>
        <v>134411.73598</v>
      </c>
      <c r="BA7" s="112">
        <f t="shared" ref="BA7:BA56" si="20">SUM(AK7/AZ7)</f>
        <v>0.96676081930327284</v>
      </c>
      <c r="BB7" s="113">
        <f t="shared" ref="BB7:BB56" si="21">SUM(AO7/AZ7)</f>
        <v>3.3239180696727134E-2</v>
      </c>
      <c r="BC7" s="114">
        <v>6.8400999999999996</v>
      </c>
      <c r="BD7" s="115">
        <v>22.497499999999999</v>
      </c>
      <c r="BE7" s="116">
        <f t="shared" ref="BE7:BE56" si="22">SUM(BC7:BD7)</f>
        <v>29.337599999999998</v>
      </c>
      <c r="BF7" s="115">
        <v>8.6720000000000006</v>
      </c>
      <c r="BG7" s="121">
        <f>SUM(BE7:BF7)</f>
        <v>38.009599999999999</v>
      </c>
      <c r="BH7" s="122">
        <f t="shared" ref="BH7:BH57" si="23">SUM(BC7/BG7)</f>
        <v>0.17995716871527193</v>
      </c>
      <c r="BI7" s="117">
        <f t="shared" ref="BI7:BI57" si="24">SUM(BD7/BG7)</f>
        <v>0.59188994359319747</v>
      </c>
      <c r="BJ7" s="117">
        <f t="shared" ref="BJ7:BJ57" si="25">SUM(BE7/BG7)</f>
        <v>0.77184711230846936</v>
      </c>
      <c r="BK7" s="117">
        <f t="shared" ref="BK7:BK57" si="26">SUM(BF7/BG7)</f>
        <v>0.22815288769153058</v>
      </c>
      <c r="BL7" s="118">
        <f t="shared" ref="BL7:BL57" si="27">SUM(BG7/BG7)</f>
        <v>1</v>
      </c>
    </row>
    <row r="8" spans="1:66" x14ac:dyDescent="0.2">
      <c r="A8" s="64"/>
      <c r="B8" s="199" t="s">
        <v>61</v>
      </c>
      <c r="C8" s="190">
        <v>174.71870000000001</v>
      </c>
      <c r="D8" s="95">
        <v>0.42809999999999998</v>
      </c>
      <c r="E8" s="94">
        <v>44.5852</v>
      </c>
      <c r="F8" s="95">
        <v>0.10920000000000001</v>
      </c>
      <c r="G8" s="94">
        <v>20.779199999999999</v>
      </c>
      <c r="H8" s="95">
        <v>5.0900000000000001E-2</v>
      </c>
      <c r="I8" s="94">
        <v>86.934200000000004</v>
      </c>
      <c r="J8" s="95">
        <v>0.21299999999999999</v>
      </c>
      <c r="K8" s="94">
        <v>20.696300000000001</v>
      </c>
      <c r="L8" s="95">
        <v>5.0700000000000002E-2</v>
      </c>
      <c r="M8" s="94">
        <v>0</v>
      </c>
      <c r="N8" s="95">
        <v>0</v>
      </c>
      <c r="O8" s="94">
        <v>2.6762999999999999</v>
      </c>
      <c r="P8" s="95">
        <v>6.6E-3</v>
      </c>
      <c r="Q8" s="94">
        <v>9.9185999999999996</v>
      </c>
      <c r="R8" s="95">
        <v>2.4299999999999999E-2</v>
      </c>
      <c r="S8" s="94">
        <v>14.057700000000001</v>
      </c>
      <c r="T8" s="95">
        <v>3.44E-2</v>
      </c>
      <c r="U8" s="94">
        <v>22.939</v>
      </c>
      <c r="V8" s="95">
        <v>5.62E-2</v>
      </c>
      <c r="W8" s="94">
        <v>6.5934999999999997</v>
      </c>
      <c r="X8" s="95">
        <v>1.6199999999999999E-2</v>
      </c>
      <c r="Y8" s="94">
        <v>4.2135999999999996</v>
      </c>
      <c r="Z8" s="95">
        <v>1.03E-2</v>
      </c>
      <c r="AA8" s="96">
        <f t="shared" si="6"/>
        <v>408.11230000000006</v>
      </c>
      <c r="AB8" s="119">
        <v>1</v>
      </c>
      <c r="AC8" s="97">
        <f t="shared" si="7"/>
        <v>373.32890000000003</v>
      </c>
      <c r="AD8" s="98">
        <f t="shared" si="8"/>
        <v>0.9147700277595161</v>
      </c>
      <c r="AE8" s="99">
        <f t="shared" si="9"/>
        <v>34.7834</v>
      </c>
      <c r="AF8" s="100">
        <f t="shared" si="10"/>
        <v>8.5229972240483801E-2</v>
      </c>
      <c r="AG8" s="99">
        <f t="shared" si="11"/>
        <v>18.2713</v>
      </c>
      <c r="AH8" s="101">
        <f t="shared" si="12"/>
        <v>4.4770275240417885E-2</v>
      </c>
      <c r="AI8" s="102">
        <v>2418</v>
      </c>
      <c r="AJ8" s="103">
        <v>691</v>
      </c>
      <c r="AK8" s="104">
        <v>1133284</v>
      </c>
      <c r="AL8" s="104">
        <v>51093.38</v>
      </c>
      <c r="AM8" s="105">
        <v>22.180642580310796</v>
      </c>
      <c r="AN8" s="6">
        <v>408.11232000000001</v>
      </c>
      <c r="AO8" s="7">
        <v>66947.913400000005</v>
      </c>
      <c r="AP8" s="7">
        <v>6163.3987900000002</v>
      </c>
      <c r="AQ8" s="12">
        <f t="shared" si="13"/>
        <v>10.862174537305901</v>
      </c>
      <c r="AR8" s="57">
        <v>4273.3828999999996</v>
      </c>
      <c r="AS8" s="106">
        <f t="shared" si="14"/>
        <v>0.99999995099388339</v>
      </c>
      <c r="AT8" s="60">
        <v>1196.029</v>
      </c>
      <c r="AU8" s="107">
        <f t="shared" si="5"/>
        <v>1196029</v>
      </c>
      <c r="AV8" s="108">
        <f t="shared" si="15"/>
        <v>0.94753889746820519</v>
      </c>
      <c r="AW8" s="109">
        <f t="shared" si="16"/>
        <v>5.5975158963536845E-2</v>
      </c>
      <c r="AX8" s="109">
        <f t="shared" si="17"/>
        <v>-3.5140564317419631E-3</v>
      </c>
      <c r="AY8" s="110">
        <f t="shared" si="18"/>
        <v>1.003514056431742</v>
      </c>
      <c r="AZ8" s="111">
        <f t="shared" si="19"/>
        <v>1200231.9134</v>
      </c>
      <c r="BA8" s="112">
        <f t="shared" si="20"/>
        <v>0.94422085210986362</v>
      </c>
      <c r="BB8" s="113">
        <f t="shared" si="21"/>
        <v>5.5779147890136417E-2</v>
      </c>
      <c r="BC8" s="114">
        <v>85.937100000000001</v>
      </c>
      <c r="BD8" s="115">
        <v>163.05840000000001</v>
      </c>
      <c r="BE8" s="116">
        <f t="shared" si="22"/>
        <v>248.99549999999999</v>
      </c>
      <c r="BF8" s="115">
        <v>159.11680000000001</v>
      </c>
      <c r="BG8" s="121">
        <f t="shared" ref="BG8:BG57" si="28">SUM(BE8:BF8)</f>
        <v>408.1123</v>
      </c>
      <c r="BH8" s="122">
        <f t="shared" si="23"/>
        <v>0.21057218809626663</v>
      </c>
      <c r="BI8" s="117">
        <f t="shared" si="24"/>
        <v>0.39954296893281582</v>
      </c>
      <c r="BJ8" s="117">
        <f t="shared" si="25"/>
        <v>0.61011515702908237</v>
      </c>
      <c r="BK8" s="117">
        <f t="shared" si="26"/>
        <v>0.38988484297091758</v>
      </c>
      <c r="BL8" s="118">
        <f t="shared" si="27"/>
        <v>1</v>
      </c>
    </row>
    <row r="9" spans="1:66" x14ac:dyDescent="0.2">
      <c r="A9" s="64"/>
      <c r="B9" s="199" t="s">
        <v>62</v>
      </c>
      <c r="C9" s="190">
        <v>0</v>
      </c>
      <c r="D9" s="95">
        <v>0</v>
      </c>
      <c r="E9" s="94">
        <v>20.0215</v>
      </c>
      <c r="F9" s="95">
        <v>0.13469999999999999</v>
      </c>
      <c r="G9" s="94">
        <v>49.770200000000003</v>
      </c>
      <c r="H9" s="95">
        <v>0.33489999999999998</v>
      </c>
      <c r="I9" s="94">
        <v>12.2014</v>
      </c>
      <c r="J9" s="95">
        <v>8.2100000000000006E-2</v>
      </c>
      <c r="K9" s="94">
        <v>0</v>
      </c>
      <c r="L9" s="95">
        <v>0</v>
      </c>
      <c r="M9" s="94">
        <v>1.2432000000000001</v>
      </c>
      <c r="N9" s="95">
        <v>8.3999999999999995E-3</v>
      </c>
      <c r="O9" s="94">
        <v>3.6705000000000001</v>
      </c>
      <c r="P9" s="95">
        <v>2.47E-2</v>
      </c>
      <c r="Q9" s="94">
        <v>19.043399999999998</v>
      </c>
      <c r="R9" s="95">
        <v>0.12809999999999999</v>
      </c>
      <c r="S9" s="94">
        <v>6.2663000000000002</v>
      </c>
      <c r="T9" s="95">
        <v>4.2200000000000001E-2</v>
      </c>
      <c r="U9" s="94">
        <v>21.23</v>
      </c>
      <c r="V9" s="95">
        <v>0.14280000000000001</v>
      </c>
      <c r="W9" s="94">
        <v>13.7631</v>
      </c>
      <c r="X9" s="95">
        <v>9.2600000000000002E-2</v>
      </c>
      <c r="Y9" s="94">
        <v>1.4126000000000001</v>
      </c>
      <c r="Z9" s="95">
        <v>9.4999999999999998E-3</v>
      </c>
      <c r="AA9" s="96">
        <f t="shared" si="6"/>
        <v>148.62219999999999</v>
      </c>
      <c r="AB9" s="119">
        <v>1</v>
      </c>
      <c r="AC9" s="97">
        <f t="shared" si="7"/>
        <v>108.13680000000001</v>
      </c>
      <c r="AD9" s="98">
        <f t="shared" si="8"/>
        <v>0.72759520448492898</v>
      </c>
      <c r="AE9" s="99">
        <f t="shared" si="9"/>
        <v>40.485399999999998</v>
      </c>
      <c r="AF9" s="100">
        <f t="shared" si="10"/>
        <v>0.27240479551507113</v>
      </c>
      <c r="AG9" s="99">
        <f t="shared" si="11"/>
        <v>7.6789000000000005</v>
      </c>
      <c r="AH9" s="101">
        <f t="shared" si="12"/>
        <v>5.1667247557901856E-2</v>
      </c>
      <c r="AI9" s="102">
        <v>1084</v>
      </c>
      <c r="AJ9" s="103">
        <v>302</v>
      </c>
      <c r="AK9" s="104">
        <v>489565</v>
      </c>
      <c r="AL9" s="104">
        <v>38846.410000000003</v>
      </c>
      <c r="AM9" s="105">
        <v>12.602580264173703</v>
      </c>
      <c r="AN9" s="6">
        <v>148.62206</v>
      </c>
      <c r="AO9" s="7">
        <v>23333.5121</v>
      </c>
      <c r="AP9" s="7">
        <v>2394.9303</v>
      </c>
      <c r="AQ9" s="12">
        <f t="shared" si="13"/>
        <v>9.7428773188096542</v>
      </c>
      <c r="AR9" s="57">
        <v>1484.2761399999999</v>
      </c>
      <c r="AS9" s="106">
        <f t="shared" si="14"/>
        <v>1.000000941986674</v>
      </c>
      <c r="AT9" s="60">
        <v>515.57600000000002</v>
      </c>
      <c r="AU9" s="107">
        <f t="shared" si="5"/>
        <v>515576</v>
      </c>
      <c r="AV9" s="108">
        <f t="shared" si="15"/>
        <v>0.94954962992846836</v>
      </c>
      <c r="AW9" s="109">
        <f t="shared" si="16"/>
        <v>4.5257172754356291E-2</v>
      </c>
      <c r="AX9" s="109">
        <f t="shared" si="17"/>
        <v>5.1931973171753798E-3</v>
      </c>
      <c r="AY9" s="110">
        <f t="shared" si="18"/>
        <v>0.99480680268282462</v>
      </c>
      <c r="AZ9" s="111">
        <f t="shared" si="19"/>
        <v>512898.51209999999</v>
      </c>
      <c r="BA9" s="112">
        <f t="shared" si="20"/>
        <v>0.95450657089164914</v>
      </c>
      <c r="BB9" s="113">
        <f t="shared" si="21"/>
        <v>4.5493429108350886E-2</v>
      </c>
      <c r="BC9" s="114">
        <v>29.928899999999999</v>
      </c>
      <c r="BD9" s="115">
        <v>92.868700000000004</v>
      </c>
      <c r="BE9" s="116">
        <f t="shared" si="22"/>
        <v>122.7976</v>
      </c>
      <c r="BF9" s="115">
        <v>25.824400000000001</v>
      </c>
      <c r="BG9" s="121">
        <f t="shared" si="28"/>
        <v>148.62200000000001</v>
      </c>
      <c r="BH9" s="122">
        <f t="shared" si="23"/>
        <v>0.20137597394732945</v>
      </c>
      <c r="BI9" s="117">
        <f t="shared" si="24"/>
        <v>0.62486509399685108</v>
      </c>
      <c r="BJ9" s="117">
        <f t="shared" si="25"/>
        <v>0.82624106794418051</v>
      </c>
      <c r="BK9" s="117">
        <f t="shared" si="26"/>
        <v>0.17375893205581944</v>
      </c>
      <c r="BL9" s="118">
        <f t="shared" si="27"/>
        <v>1</v>
      </c>
    </row>
    <row r="10" spans="1:66" x14ac:dyDescent="0.2">
      <c r="A10" s="64"/>
      <c r="B10" s="199" t="s">
        <v>63</v>
      </c>
      <c r="C10" s="190">
        <v>949.11810000000003</v>
      </c>
      <c r="D10" s="95">
        <v>0.30180000000000001</v>
      </c>
      <c r="E10" s="94">
        <v>318.94159999999999</v>
      </c>
      <c r="F10" s="95">
        <v>0.1014</v>
      </c>
      <c r="G10" s="94">
        <v>285.85509999999999</v>
      </c>
      <c r="H10" s="95">
        <v>9.0899999999999995E-2</v>
      </c>
      <c r="I10" s="94">
        <v>1182.7025000000001</v>
      </c>
      <c r="J10" s="95">
        <v>0.37609999999999999</v>
      </c>
      <c r="K10" s="94">
        <v>83.125900000000001</v>
      </c>
      <c r="L10" s="95">
        <v>2.64E-2</v>
      </c>
      <c r="M10" s="94">
        <v>79.950900000000004</v>
      </c>
      <c r="N10" s="95">
        <v>2.5399999999999999E-2</v>
      </c>
      <c r="O10" s="94">
        <v>42.789400000000001</v>
      </c>
      <c r="P10" s="95">
        <v>1.3599999999999999E-2</v>
      </c>
      <c r="Q10" s="94">
        <v>28.0901</v>
      </c>
      <c r="R10" s="95">
        <v>8.8999999999999999E-3</v>
      </c>
      <c r="S10" s="94">
        <v>21.425699999999999</v>
      </c>
      <c r="T10" s="95">
        <v>6.7999999999999996E-3</v>
      </c>
      <c r="U10" s="94">
        <v>114.59569999999999</v>
      </c>
      <c r="V10" s="95">
        <v>3.6400000000000002E-2</v>
      </c>
      <c r="W10" s="94">
        <v>26.332100000000001</v>
      </c>
      <c r="X10" s="95">
        <v>8.3999999999999995E-3</v>
      </c>
      <c r="Y10" s="94">
        <v>11.5764</v>
      </c>
      <c r="Z10" s="95">
        <v>3.7000000000000002E-3</v>
      </c>
      <c r="AA10" s="96">
        <f t="shared" si="6"/>
        <v>3144.5034999999993</v>
      </c>
      <c r="AB10" s="119">
        <v>1</v>
      </c>
      <c r="AC10" s="97">
        <f t="shared" si="7"/>
        <v>3057.0791999999997</v>
      </c>
      <c r="AD10" s="98">
        <f t="shared" si="8"/>
        <v>0.97219774123323455</v>
      </c>
      <c r="AE10" s="99">
        <f t="shared" si="9"/>
        <v>87.424299999999988</v>
      </c>
      <c r="AF10" s="100">
        <f t="shared" si="10"/>
        <v>2.7802258766765568E-2</v>
      </c>
      <c r="AG10" s="99">
        <f t="shared" si="11"/>
        <v>33.002099999999999</v>
      </c>
      <c r="AH10" s="101">
        <f t="shared" si="12"/>
        <v>1.0495170382224096E-2</v>
      </c>
      <c r="AI10" s="102">
        <v>10327</v>
      </c>
      <c r="AJ10" s="104">
        <v>2117</v>
      </c>
      <c r="AK10" s="104">
        <v>5892073</v>
      </c>
      <c r="AL10" s="104">
        <v>267758.48</v>
      </c>
      <c r="AM10" s="105">
        <v>22.005177949919645</v>
      </c>
      <c r="AN10" s="6">
        <v>3144.5035600000001</v>
      </c>
      <c r="AO10" s="7">
        <v>543275.67000000004</v>
      </c>
      <c r="AP10" s="7">
        <v>51902.912199999999</v>
      </c>
      <c r="AQ10" s="12">
        <f t="shared" si="13"/>
        <v>10.467151976108193</v>
      </c>
      <c r="AR10" s="57">
        <v>39708.313800000004</v>
      </c>
      <c r="AS10" s="106">
        <f t="shared" si="14"/>
        <v>0.99999998091908637</v>
      </c>
      <c r="AT10" s="60">
        <v>6470.5540000000001</v>
      </c>
      <c r="AU10" s="107">
        <f t="shared" si="5"/>
        <v>6470554</v>
      </c>
      <c r="AV10" s="108">
        <f t="shared" si="15"/>
        <v>0.91059791789080191</v>
      </c>
      <c r="AW10" s="109">
        <f t="shared" si="16"/>
        <v>8.3961229594869319E-2</v>
      </c>
      <c r="AX10" s="109">
        <f t="shared" si="17"/>
        <v>5.4408525143287978E-3</v>
      </c>
      <c r="AY10" s="110">
        <f t="shared" si="18"/>
        <v>0.9945591474856712</v>
      </c>
      <c r="AZ10" s="111">
        <f t="shared" si="19"/>
        <v>6435348.6699999999</v>
      </c>
      <c r="BA10" s="112">
        <f t="shared" si="20"/>
        <v>0.91557945064692203</v>
      </c>
      <c r="BB10" s="113">
        <f t="shared" si="21"/>
        <v>8.4420549353078023E-2</v>
      </c>
      <c r="BC10" s="114">
        <v>660.63239999999996</v>
      </c>
      <c r="BD10" s="115">
        <v>991.0222</v>
      </c>
      <c r="BE10" s="116">
        <f t="shared" si="22"/>
        <v>1651.6545999999998</v>
      </c>
      <c r="BF10" s="115">
        <v>1492.8489</v>
      </c>
      <c r="BG10" s="121">
        <f t="shared" si="28"/>
        <v>3144.5034999999998</v>
      </c>
      <c r="BH10" s="122">
        <f t="shared" si="23"/>
        <v>0.21009116383556259</v>
      </c>
      <c r="BI10" s="117">
        <f t="shared" si="24"/>
        <v>0.31516015167418326</v>
      </c>
      <c r="BJ10" s="117">
        <f t="shared" si="25"/>
        <v>0.5252513155097458</v>
      </c>
      <c r="BK10" s="117">
        <f t="shared" si="26"/>
        <v>0.4747486844902542</v>
      </c>
      <c r="BL10" s="118">
        <f t="shared" si="27"/>
        <v>1</v>
      </c>
    </row>
    <row r="11" spans="1:66" x14ac:dyDescent="0.2">
      <c r="A11" s="64"/>
      <c r="B11" s="199" t="s">
        <v>64</v>
      </c>
      <c r="C11" s="190">
        <v>90.215100000000007</v>
      </c>
      <c r="D11" s="95">
        <v>0.23630000000000001</v>
      </c>
      <c r="E11" s="94">
        <v>61.390500000000003</v>
      </c>
      <c r="F11" s="95">
        <v>0.1608</v>
      </c>
      <c r="G11" s="94">
        <v>31.613800000000001</v>
      </c>
      <c r="H11" s="95">
        <v>8.2799999999999999E-2</v>
      </c>
      <c r="I11" s="94">
        <v>88.457999999999998</v>
      </c>
      <c r="J11" s="95">
        <v>0.23169999999999999</v>
      </c>
      <c r="K11" s="94">
        <v>7.2782999999999998</v>
      </c>
      <c r="L11" s="95">
        <v>1.9099999999999999E-2</v>
      </c>
      <c r="M11" s="94">
        <v>16.6892</v>
      </c>
      <c r="N11" s="95">
        <v>4.3700000000000003E-2</v>
      </c>
      <c r="O11" s="94">
        <v>1.0952</v>
      </c>
      <c r="P11" s="95">
        <v>2.8999999999999998E-3</v>
      </c>
      <c r="Q11" s="94">
        <v>9.6065000000000005</v>
      </c>
      <c r="R11" s="95">
        <v>2.52E-2</v>
      </c>
      <c r="S11" s="94">
        <v>21.767199999999999</v>
      </c>
      <c r="T11" s="95">
        <v>5.7000000000000002E-2</v>
      </c>
      <c r="U11" s="94">
        <v>38.859400000000001</v>
      </c>
      <c r="V11" s="95">
        <v>0.1018</v>
      </c>
      <c r="W11" s="94">
        <v>7.4869000000000003</v>
      </c>
      <c r="X11" s="95">
        <v>1.9599999999999999E-2</v>
      </c>
      <c r="Y11" s="94">
        <v>7.3558000000000003</v>
      </c>
      <c r="Z11" s="95">
        <v>1.9300000000000001E-2</v>
      </c>
      <c r="AA11" s="96">
        <f t="shared" si="6"/>
        <v>381.81589999999994</v>
      </c>
      <c r="AB11" s="119">
        <v>1</v>
      </c>
      <c r="AC11" s="97">
        <f t="shared" si="7"/>
        <v>335.59949999999998</v>
      </c>
      <c r="AD11" s="98">
        <f t="shared" si="8"/>
        <v>0.8789563242389854</v>
      </c>
      <c r="AE11" s="99">
        <f t="shared" si="9"/>
        <v>46.2164</v>
      </c>
      <c r="AF11" s="100">
        <f t="shared" si="10"/>
        <v>0.12104367576101469</v>
      </c>
      <c r="AG11" s="99">
        <f t="shared" si="11"/>
        <v>29.122999999999998</v>
      </c>
      <c r="AH11" s="101">
        <f t="shared" si="12"/>
        <v>7.6274979643330729E-2</v>
      </c>
      <c r="AI11" s="102">
        <v>1941</v>
      </c>
      <c r="AJ11" s="103">
        <v>272</v>
      </c>
      <c r="AK11" s="104">
        <v>880597</v>
      </c>
      <c r="AL11" s="104">
        <v>53902.91</v>
      </c>
      <c r="AM11" s="105">
        <v>16.336724677758585</v>
      </c>
      <c r="AN11" s="6">
        <v>381.81607000000002</v>
      </c>
      <c r="AO11" s="7">
        <v>52073.262799999997</v>
      </c>
      <c r="AP11" s="7">
        <v>5781.3682799999997</v>
      </c>
      <c r="AQ11" s="12">
        <f t="shared" si="13"/>
        <v>9.0070828008209851</v>
      </c>
      <c r="AR11" s="57">
        <v>4949.8315899999998</v>
      </c>
      <c r="AS11" s="106">
        <f t="shared" si="14"/>
        <v>0.99999955475944191</v>
      </c>
      <c r="AT11" s="60">
        <v>919.98800000000006</v>
      </c>
      <c r="AU11" s="107">
        <f t="shared" si="5"/>
        <v>919988</v>
      </c>
      <c r="AV11" s="108">
        <f t="shared" si="15"/>
        <v>0.95718313717135439</v>
      </c>
      <c r="AW11" s="109">
        <f t="shared" si="16"/>
        <v>5.6602110897098656E-2</v>
      </c>
      <c r="AX11" s="109">
        <f t="shared" si="17"/>
        <v>-1.3785248068453049E-2</v>
      </c>
      <c r="AY11" s="110">
        <f t="shared" si="18"/>
        <v>1.013785248068453</v>
      </c>
      <c r="AZ11" s="111">
        <f t="shared" si="19"/>
        <v>932670.26280000003</v>
      </c>
      <c r="BA11" s="112">
        <f t="shared" si="20"/>
        <v>0.94416755323186874</v>
      </c>
      <c r="BB11" s="113">
        <f t="shared" si="21"/>
        <v>5.5832446768131261E-2</v>
      </c>
      <c r="BC11" s="114">
        <v>60.447400000000002</v>
      </c>
      <c r="BD11" s="115">
        <v>160.95590000000001</v>
      </c>
      <c r="BE11" s="116">
        <f t="shared" si="22"/>
        <v>221.4033</v>
      </c>
      <c r="BF11" s="115">
        <v>160.4128</v>
      </c>
      <c r="BG11" s="121">
        <f t="shared" si="28"/>
        <v>381.81610000000001</v>
      </c>
      <c r="BH11" s="122">
        <f t="shared" si="23"/>
        <v>0.1583154822439389</v>
      </c>
      <c r="BI11" s="117">
        <f t="shared" si="24"/>
        <v>0.4215534651367504</v>
      </c>
      <c r="BJ11" s="117">
        <f t="shared" si="25"/>
        <v>0.57986894738068928</v>
      </c>
      <c r="BK11" s="117">
        <f t="shared" si="26"/>
        <v>0.42013105261931072</v>
      </c>
      <c r="BL11" s="118">
        <f t="shared" si="27"/>
        <v>1</v>
      </c>
    </row>
    <row r="12" spans="1:66" x14ac:dyDescent="0.2">
      <c r="A12" s="64"/>
      <c r="B12" s="199" t="s">
        <v>65</v>
      </c>
      <c r="C12" s="190">
        <v>0</v>
      </c>
      <c r="D12" s="95">
        <v>0</v>
      </c>
      <c r="E12" s="94">
        <v>54.225200000000001</v>
      </c>
      <c r="F12" s="95">
        <v>0.1686</v>
      </c>
      <c r="G12" s="94">
        <v>29.581800000000001</v>
      </c>
      <c r="H12" s="95">
        <v>9.1999999999999998E-2</v>
      </c>
      <c r="I12" s="94">
        <v>154.05670000000001</v>
      </c>
      <c r="J12" s="95">
        <v>0.47889999999999999</v>
      </c>
      <c r="K12" s="94">
        <v>29.602</v>
      </c>
      <c r="L12" s="95">
        <v>9.1999999999999998E-2</v>
      </c>
      <c r="M12" s="94">
        <v>0</v>
      </c>
      <c r="N12" s="95">
        <v>0</v>
      </c>
      <c r="O12" s="94">
        <v>2.4990000000000001</v>
      </c>
      <c r="P12" s="95">
        <v>7.7999999999999996E-3</v>
      </c>
      <c r="Q12" s="94">
        <v>0</v>
      </c>
      <c r="R12" s="95">
        <v>0</v>
      </c>
      <c r="S12" s="94">
        <v>0</v>
      </c>
      <c r="T12" s="95">
        <v>0</v>
      </c>
      <c r="U12" s="94">
        <v>45.222700000000003</v>
      </c>
      <c r="V12" s="95">
        <v>0.1406</v>
      </c>
      <c r="W12" s="94">
        <v>6.4943</v>
      </c>
      <c r="X12" s="95">
        <v>2.0199999999999999E-2</v>
      </c>
      <c r="Y12" s="94">
        <v>0</v>
      </c>
      <c r="Z12" s="95">
        <v>0</v>
      </c>
      <c r="AA12" s="96">
        <f t="shared" si="6"/>
        <v>321.68170000000003</v>
      </c>
      <c r="AB12" s="119">
        <v>1</v>
      </c>
      <c r="AC12" s="97">
        <f t="shared" si="7"/>
        <v>315.18740000000003</v>
      </c>
      <c r="AD12" s="98">
        <f t="shared" si="8"/>
        <v>0.97981140985017179</v>
      </c>
      <c r="AE12" s="99">
        <f t="shared" si="9"/>
        <v>6.4943</v>
      </c>
      <c r="AF12" s="100">
        <f t="shared" si="10"/>
        <v>2.0188590149828229E-2</v>
      </c>
      <c r="AG12" s="99">
        <f t="shared" si="11"/>
        <v>0</v>
      </c>
      <c r="AH12" s="101">
        <f t="shared" si="12"/>
        <v>0</v>
      </c>
      <c r="AI12" s="102">
        <v>1000</v>
      </c>
      <c r="AJ12" s="103">
        <v>208</v>
      </c>
      <c r="AK12" s="104">
        <v>509748</v>
      </c>
      <c r="AL12" s="104">
        <v>41685.78</v>
      </c>
      <c r="AM12" s="105">
        <v>12.228342614675796</v>
      </c>
      <c r="AN12" s="6">
        <v>321.68164999999999</v>
      </c>
      <c r="AO12" s="7">
        <v>54587.299400000004</v>
      </c>
      <c r="AP12" s="7">
        <v>7319.5673299999999</v>
      </c>
      <c r="AQ12" s="12">
        <f t="shared" si="13"/>
        <v>7.4577221492680774</v>
      </c>
      <c r="AR12" s="57">
        <v>6244.3826499999996</v>
      </c>
      <c r="AS12" s="106">
        <f t="shared" si="14"/>
        <v>1.0000001554331746</v>
      </c>
      <c r="AT12" s="60">
        <v>554.88400000000001</v>
      </c>
      <c r="AU12" s="107">
        <f t="shared" si="5"/>
        <v>554884</v>
      </c>
      <c r="AV12" s="108">
        <f t="shared" si="15"/>
        <v>0.91865687242739025</v>
      </c>
      <c r="AW12" s="109">
        <f t="shared" si="16"/>
        <v>9.837605589636754E-2</v>
      </c>
      <c r="AX12" s="109">
        <f t="shared" si="17"/>
        <v>-1.7032928323757801E-2</v>
      </c>
      <c r="AY12" s="110">
        <f t="shared" si="18"/>
        <v>1.0170329283237578</v>
      </c>
      <c r="AZ12" s="111">
        <f t="shared" si="19"/>
        <v>564335.29940000002</v>
      </c>
      <c r="BA12" s="112">
        <f t="shared" si="20"/>
        <v>0.9032715134813698</v>
      </c>
      <c r="BB12" s="113">
        <f t="shared" si="21"/>
        <v>9.6728486518630141E-2</v>
      </c>
      <c r="BC12" s="114">
        <v>95.820400000000006</v>
      </c>
      <c r="BD12" s="115">
        <v>49.563499999999998</v>
      </c>
      <c r="BE12" s="116">
        <f t="shared" si="22"/>
        <v>145.38390000000001</v>
      </c>
      <c r="BF12" s="115">
        <v>176.29769999999999</v>
      </c>
      <c r="BG12" s="121">
        <f t="shared" si="28"/>
        <v>321.6816</v>
      </c>
      <c r="BH12" s="122">
        <f t="shared" si="23"/>
        <v>0.29787342515083237</v>
      </c>
      <c r="BI12" s="117">
        <f t="shared" si="24"/>
        <v>0.15407626671839483</v>
      </c>
      <c r="BJ12" s="117">
        <f t="shared" si="25"/>
        <v>0.45194969186922723</v>
      </c>
      <c r="BK12" s="117">
        <f t="shared" si="26"/>
        <v>0.54805030813077271</v>
      </c>
      <c r="BL12" s="118">
        <f t="shared" si="27"/>
        <v>1</v>
      </c>
    </row>
    <row r="13" spans="1:66" x14ac:dyDescent="0.2">
      <c r="A13" s="64"/>
      <c r="B13" s="199" t="s">
        <v>66</v>
      </c>
      <c r="C13" s="190">
        <v>0</v>
      </c>
      <c r="D13" s="95">
        <v>0</v>
      </c>
      <c r="E13" s="94">
        <v>0</v>
      </c>
      <c r="F13" s="95">
        <v>0</v>
      </c>
      <c r="G13" s="94">
        <v>22.2469</v>
      </c>
      <c r="H13" s="95">
        <v>0.19819999999999999</v>
      </c>
      <c r="I13" s="94">
        <v>50.663699999999999</v>
      </c>
      <c r="J13" s="95">
        <v>0.45140000000000002</v>
      </c>
      <c r="K13" s="94">
        <v>2.4447000000000001</v>
      </c>
      <c r="L13" s="95">
        <v>2.18E-2</v>
      </c>
      <c r="M13" s="94">
        <v>1.4906999999999999</v>
      </c>
      <c r="N13" s="95">
        <v>1.3299999999999999E-2</v>
      </c>
      <c r="O13" s="94">
        <v>2.4556</v>
      </c>
      <c r="P13" s="95">
        <v>2.1899999999999999E-2</v>
      </c>
      <c r="Q13" s="94">
        <v>0</v>
      </c>
      <c r="R13" s="95">
        <v>0</v>
      </c>
      <c r="S13" s="94">
        <v>0</v>
      </c>
      <c r="T13" s="95">
        <v>0</v>
      </c>
      <c r="U13" s="94">
        <v>31.475899999999999</v>
      </c>
      <c r="V13" s="95">
        <v>0.28039999999999998</v>
      </c>
      <c r="W13" s="94">
        <v>1.4708000000000001</v>
      </c>
      <c r="X13" s="95">
        <v>1.3100000000000001E-2</v>
      </c>
      <c r="Y13" s="94">
        <v>0</v>
      </c>
      <c r="Z13" s="95">
        <v>0</v>
      </c>
      <c r="AA13" s="96">
        <f t="shared" si="6"/>
        <v>112.2483</v>
      </c>
      <c r="AB13" s="119">
        <v>1</v>
      </c>
      <c r="AC13" s="97">
        <f t="shared" si="7"/>
        <v>110.7775</v>
      </c>
      <c r="AD13" s="98">
        <f t="shared" si="8"/>
        <v>0.98689690623376924</v>
      </c>
      <c r="AE13" s="99">
        <f t="shared" si="9"/>
        <v>1.4708000000000001</v>
      </c>
      <c r="AF13" s="100">
        <f t="shared" si="10"/>
        <v>1.3103093766230759E-2</v>
      </c>
      <c r="AG13" s="99">
        <f t="shared" si="11"/>
        <v>0</v>
      </c>
      <c r="AH13" s="101">
        <f t="shared" si="12"/>
        <v>0</v>
      </c>
      <c r="AI13" s="120">
        <v>229</v>
      </c>
      <c r="AJ13" s="103">
        <v>45</v>
      </c>
      <c r="AK13" s="104">
        <v>139935</v>
      </c>
      <c r="AL13" s="104">
        <v>9965.44</v>
      </c>
      <c r="AM13" s="105">
        <v>14.042029253098708</v>
      </c>
      <c r="AN13" s="6">
        <v>112.24834</v>
      </c>
      <c r="AO13" s="7">
        <v>19852.221000000001</v>
      </c>
      <c r="AP13" s="7">
        <v>1767.3356799999999</v>
      </c>
      <c r="AQ13" s="12">
        <f t="shared" si="13"/>
        <v>11.232852493534223</v>
      </c>
      <c r="AR13" s="57">
        <v>1309.2907</v>
      </c>
      <c r="AS13" s="106">
        <f t="shared" si="14"/>
        <v>0.99999964364729133</v>
      </c>
      <c r="AT13" s="60">
        <v>153.471</v>
      </c>
      <c r="AU13" s="107">
        <f t="shared" si="5"/>
        <v>153471</v>
      </c>
      <c r="AV13" s="108">
        <f t="shared" si="15"/>
        <v>0.91180092655941514</v>
      </c>
      <c r="AW13" s="109">
        <f t="shared" si="16"/>
        <v>0.12935486834646287</v>
      </c>
      <c r="AX13" s="109">
        <f t="shared" si="17"/>
        <v>-4.1155794905878063E-2</v>
      </c>
      <c r="AY13" s="110">
        <f t="shared" si="18"/>
        <v>1.0411557949058781</v>
      </c>
      <c r="AZ13" s="111">
        <f t="shared" si="19"/>
        <v>159787.22099999999</v>
      </c>
      <c r="BA13" s="112">
        <f t="shared" si="20"/>
        <v>0.87575839372035891</v>
      </c>
      <c r="BB13" s="113">
        <f t="shared" si="21"/>
        <v>0.12424160627964112</v>
      </c>
      <c r="BC13" s="114">
        <v>21.718699999999998</v>
      </c>
      <c r="BD13" s="115">
        <v>63.833199999999998</v>
      </c>
      <c r="BE13" s="116">
        <f t="shared" si="22"/>
        <v>85.551899999999989</v>
      </c>
      <c r="BF13" s="115">
        <v>26.696400000000001</v>
      </c>
      <c r="BG13" s="121">
        <f t="shared" si="28"/>
        <v>112.24829999999999</v>
      </c>
      <c r="BH13" s="122">
        <f t="shared" si="23"/>
        <v>0.19348800828163992</v>
      </c>
      <c r="BI13" s="117">
        <f t="shared" si="24"/>
        <v>0.56867854568844256</v>
      </c>
      <c r="BJ13" s="117">
        <f t="shared" si="25"/>
        <v>0.76216655397008237</v>
      </c>
      <c r="BK13" s="117">
        <f t="shared" si="26"/>
        <v>0.23783344602991763</v>
      </c>
      <c r="BL13" s="118">
        <f t="shared" si="27"/>
        <v>1</v>
      </c>
    </row>
    <row r="14" spans="1:66" x14ac:dyDescent="0.2">
      <c r="A14" s="64"/>
      <c r="B14" s="199" t="s">
        <v>67</v>
      </c>
      <c r="C14" s="190">
        <v>78.622600000000006</v>
      </c>
      <c r="D14" s="95">
        <v>1</v>
      </c>
      <c r="E14" s="94">
        <v>0</v>
      </c>
      <c r="F14" s="95">
        <v>0</v>
      </c>
      <c r="G14" s="94">
        <v>0</v>
      </c>
      <c r="H14" s="95">
        <v>0</v>
      </c>
      <c r="I14" s="94">
        <v>0</v>
      </c>
      <c r="J14" s="95">
        <v>0</v>
      </c>
      <c r="K14" s="94">
        <v>0</v>
      </c>
      <c r="L14" s="95">
        <v>0</v>
      </c>
      <c r="M14" s="94">
        <v>0</v>
      </c>
      <c r="N14" s="95">
        <v>0</v>
      </c>
      <c r="O14" s="94">
        <v>0</v>
      </c>
      <c r="P14" s="95">
        <v>0</v>
      </c>
      <c r="Q14" s="94">
        <v>0</v>
      </c>
      <c r="R14" s="95">
        <v>0</v>
      </c>
      <c r="S14" s="94">
        <v>0</v>
      </c>
      <c r="T14" s="95">
        <v>0</v>
      </c>
      <c r="U14" s="94">
        <v>0</v>
      </c>
      <c r="V14" s="95">
        <v>0</v>
      </c>
      <c r="W14" s="94">
        <v>0</v>
      </c>
      <c r="X14" s="95">
        <v>0</v>
      </c>
      <c r="Y14" s="94">
        <v>0</v>
      </c>
      <c r="Z14" s="95">
        <v>0</v>
      </c>
      <c r="AA14" s="96">
        <f t="shared" si="6"/>
        <v>78.622600000000006</v>
      </c>
      <c r="AB14" s="119">
        <v>1</v>
      </c>
      <c r="AC14" s="97">
        <f t="shared" si="7"/>
        <v>78.622600000000006</v>
      </c>
      <c r="AD14" s="98">
        <f t="shared" si="8"/>
        <v>1</v>
      </c>
      <c r="AE14" s="99">
        <f t="shared" si="9"/>
        <v>0</v>
      </c>
      <c r="AF14" s="100">
        <f t="shared" si="10"/>
        <v>0</v>
      </c>
      <c r="AG14" s="99">
        <f t="shared" si="11"/>
        <v>0</v>
      </c>
      <c r="AH14" s="101">
        <f t="shared" si="12"/>
        <v>0</v>
      </c>
      <c r="AI14" s="120">
        <v>240</v>
      </c>
      <c r="AJ14" s="103">
        <v>70</v>
      </c>
      <c r="AK14" s="104">
        <v>88908</v>
      </c>
      <c r="AL14" s="104">
        <v>7828.4</v>
      </c>
      <c r="AM14" s="105">
        <v>11.357110009708242</v>
      </c>
      <c r="AN14" s="6">
        <v>78.622640000000004</v>
      </c>
      <c r="AO14" s="7">
        <v>19107.6486</v>
      </c>
      <c r="AP14" s="7">
        <v>2369.0792200000001</v>
      </c>
      <c r="AQ14" s="12">
        <f t="shared" si="13"/>
        <v>8.0654325269882694</v>
      </c>
      <c r="AR14" s="57">
        <v>1840.2692500000001</v>
      </c>
      <c r="AS14" s="106">
        <f t="shared" si="14"/>
        <v>0.99999949124069099</v>
      </c>
      <c r="AT14" s="60">
        <v>83.971999999999994</v>
      </c>
      <c r="AU14" s="107">
        <f t="shared" si="5"/>
        <v>83972</v>
      </c>
      <c r="AV14" s="108">
        <f t="shared" si="15"/>
        <v>1.0587814985947697</v>
      </c>
      <c r="AW14" s="109">
        <f t="shared" si="16"/>
        <v>0.22754785642833325</v>
      </c>
      <c r="AX14" s="109">
        <f t="shared" si="17"/>
        <v>-0.28632935502310297</v>
      </c>
      <c r="AY14" s="110">
        <f t="shared" si="18"/>
        <v>1.286329355023103</v>
      </c>
      <c r="AZ14" s="111">
        <f t="shared" si="19"/>
        <v>108015.6486</v>
      </c>
      <c r="BA14" s="112">
        <f t="shared" si="20"/>
        <v>0.82310295917623177</v>
      </c>
      <c r="BB14" s="113">
        <f t="shared" si="21"/>
        <v>0.1768970408237682</v>
      </c>
      <c r="BC14" s="114">
        <v>23.9511</v>
      </c>
      <c r="BD14" s="115">
        <v>17.239000000000001</v>
      </c>
      <c r="BE14" s="116">
        <f t="shared" si="22"/>
        <v>41.190100000000001</v>
      </c>
      <c r="BF14" s="115">
        <v>37.432600000000001</v>
      </c>
      <c r="BG14" s="121">
        <f t="shared" si="28"/>
        <v>78.622700000000009</v>
      </c>
      <c r="BH14" s="122">
        <f t="shared" si="23"/>
        <v>0.30463339468117984</v>
      </c>
      <c r="BI14" s="117">
        <f t="shared" si="24"/>
        <v>0.21926237587872202</v>
      </c>
      <c r="BJ14" s="117">
        <f t="shared" si="25"/>
        <v>0.52389577055990189</v>
      </c>
      <c r="BK14" s="117">
        <f t="shared" si="26"/>
        <v>0.47610422944009806</v>
      </c>
      <c r="BL14" s="118">
        <f t="shared" si="27"/>
        <v>1</v>
      </c>
    </row>
    <row r="15" spans="1:66" x14ac:dyDescent="0.2">
      <c r="A15" s="64"/>
      <c r="B15" s="199" t="s">
        <v>68</v>
      </c>
      <c r="C15" s="190">
        <v>324.23689999999999</v>
      </c>
      <c r="D15" s="95">
        <v>0.12280000000000001</v>
      </c>
      <c r="E15" s="94">
        <v>188.9068</v>
      </c>
      <c r="F15" s="95">
        <v>7.1499999999999994E-2</v>
      </c>
      <c r="G15" s="94">
        <v>328.72730000000001</v>
      </c>
      <c r="H15" s="95">
        <v>0.1245</v>
      </c>
      <c r="I15" s="94">
        <v>1383.6294</v>
      </c>
      <c r="J15" s="95">
        <v>0.52380000000000004</v>
      </c>
      <c r="K15" s="94">
        <v>136.30840000000001</v>
      </c>
      <c r="L15" s="95">
        <v>5.16E-2</v>
      </c>
      <c r="M15" s="94">
        <v>28.8537</v>
      </c>
      <c r="N15" s="95">
        <v>1.09E-2</v>
      </c>
      <c r="O15" s="94">
        <v>19.1068</v>
      </c>
      <c r="P15" s="95">
        <v>7.1999999999999998E-3</v>
      </c>
      <c r="Q15" s="94">
        <v>38.908000000000001</v>
      </c>
      <c r="R15" s="95">
        <v>1.47E-2</v>
      </c>
      <c r="S15" s="94">
        <v>8.3236000000000008</v>
      </c>
      <c r="T15" s="95">
        <v>3.2000000000000002E-3</v>
      </c>
      <c r="U15" s="94">
        <v>140.09219999999999</v>
      </c>
      <c r="V15" s="95">
        <v>5.2999999999999999E-2</v>
      </c>
      <c r="W15" s="94">
        <v>40.324100000000001</v>
      </c>
      <c r="X15" s="95">
        <v>1.5299999999999999E-2</v>
      </c>
      <c r="Y15" s="94">
        <v>3.9007999999999998</v>
      </c>
      <c r="Z15" s="95">
        <v>1.5E-3</v>
      </c>
      <c r="AA15" s="96">
        <f t="shared" si="6"/>
        <v>2641.3179999999998</v>
      </c>
      <c r="AB15" s="119">
        <v>1</v>
      </c>
      <c r="AC15" s="97">
        <f t="shared" si="7"/>
        <v>2549.8615</v>
      </c>
      <c r="AD15" s="98">
        <f t="shared" si="8"/>
        <v>0.96537467279593003</v>
      </c>
      <c r="AE15" s="99">
        <f t="shared" si="9"/>
        <v>91.456500000000005</v>
      </c>
      <c r="AF15" s="100">
        <f t="shared" si="10"/>
        <v>3.4625327204070092E-2</v>
      </c>
      <c r="AG15" s="99">
        <f t="shared" si="11"/>
        <v>12.224400000000001</v>
      </c>
      <c r="AH15" s="101">
        <f t="shared" si="12"/>
        <v>4.6281439796344104E-3</v>
      </c>
      <c r="AI15" s="102">
        <v>4191</v>
      </c>
      <c r="AJ15" s="103">
        <v>77</v>
      </c>
      <c r="AK15" s="104">
        <v>2833186</v>
      </c>
      <c r="AL15" s="104">
        <v>159865.85</v>
      </c>
      <c r="AM15" s="105">
        <v>17.722271517025057</v>
      </c>
      <c r="AN15" s="6">
        <v>2641.3179100000002</v>
      </c>
      <c r="AO15" s="7">
        <v>422173.05800000002</v>
      </c>
      <c r="AP15" s="7">
        <v>39314.145199999999</v>
      </c>
      <c r="AQ15" s="12">
        <f t="shared" si="13"/>
        <v>10.738451919844872</v>
      </c>
      <c r="AR15" s="57">
        <v>28079.946899999999</v>
      </c>
      <c r="AS15" s="106">
        <f t="shared" si="14"/>
        <v>1.000000034073899</v>
      </c>
      <c r="AT15" s="60">
        <v>3143.8939999999998</v>
      </c>
      <c r="AU15" s="107">
        <f t="shared" si="5"/>
        <v>3143894</v>
      </c>
      <c r="AV15" s="108">
        <f t="shared" si="15"/>
        <v>0.90117096823238951</v>
      </c>
      <c r="AW15" s="109">
        <f t="shared" si="16"/>
        <v>0.1342834898377617</v>
      </c>
      <c r="AX15" s="109">
        <f t="shared" si="17"/>
        <v>-3.545445807015124E-2</v>
      </c>
      <c r="AY15" s="110">
        <f t="shared" si="18"/>
        <v>1.0354544580701512</v>
      </c>
      <c r="AZ15" s="111">
        <f t="shared" si="19"/>
        <v>3255359.0580000002</v>
      </c>
      <c r="BA15" s="112">
        <f t="shared" si="20"/>
        <v>0.87031444136322977</v>
      </c>
      <c r="BB15" s="113">
        <f t="shared" si="21"/>
        <v>0.1296855586367702</v>
      </c>
      <c r="BC15" s="114">
        <v>242.5308</v>
      </c>
      <c r="BD15" s="115">
        <v>1266.3666000000001</v>
      </c>
      <c r="BE15" s="116">
        <f t="shared" si="22"/>
        <v>1508.8974000000001</v>
      </c>
      <c r="BF15" s="115">
        <v>1132.4204999999999</v>
      </c>
      <c r="BG15" s="121">
        <f t="shared" si="28"/>
        <v>2641.3179</v>
      </c>
      <c r="BH15" s="122">
        <f t="shared" si="23"/>
        <v>9.1821889368182447E-2</v>
      </c>
      <c r="BI15" s="117">
        <f t="shared" si="24"/>
        <v>0.47944497706996952</v>
      </c>
      <c r="BJ15" s="117">
        <f t="shared" si="25"/>
        <v>0.57126686643815194</v>
      </c>
      <c r="BK15" s="117">
        <f t="shared" si="26"/>
        <v>0.428733133561848</v>
      </c>
      <c r="BL15" s="118">
        <f t="shared" si="27"/>
        <v>1</v>
      </c>
    </row>
    <row r="16" spans="1:66" x14ac:dyDescent="0.2">
      <c r="A16" s="64"/>
      <c r="B16" s="199" t="s">
        <v>69</v>
      </c>
      <c r="C16" s="190">
        <v>56.281100000000002</v>
      </c>
      <c r="D16" s="95">
        <v>6.7799999999999999E-2</v>
      </c>
      <c r="E16" s="94">
        <v>86.905199999999994</v>
      </c>
      <c r="F16" s="95">
        <v>0.1047</v>
      </c>
      <c r="G16" s="94">
        <v>58.706099999999999</v>
      </c>
      <c r="H16" s="95">
        <v>7.0699999999999999E-2</v>
      </c>
      <c r="I16" s="94">
        <v>404.08769999999998</v>
      </c>
      <c r="J16" s="95">
        <v>0.48680000000000001</v>
      </c>
      <c r="K16" s="94">
        <v>5.8385999999999996</v>
      </c>
      <c r="L16" s="95">
        <v>7.0000000000000001E-3</v>
      </c>
      <c r="M16" s="94">
        <v>12.423400000000001</v>
      </c>
      <c r="N16" s="95">
        <v>1.4999999999999999E-2</v>
      </c>
      <c r="O16" s="94">
        <v>10.874599999999999</v>
      </c>
      <c r="P16" s="95">
        <v>1.3100000000000001E-2</v>
      </c>
      <c r="Q16" s="94">
        <v>30.446999999999999</v>
      </c>
      <c r="R16" s="95">
        <v>3.6700000000000003E-2</v>
      </c>
      <c r="S16" s="94">
        <v>7.4683000000000002</v>
      </c>
      <c r="T16" s="95">
        <v>8.9999999999999993E-3</v>
      </c>
      <c r="U16" s="94">
        <v>111.1061</v>
      </c>
      <c r="V16" s="95">
        <v>0.1338</v>
      </c>
      <c r="W16" s="94">
        <v>40.719200000000001</v>
      </c>
      <c r="X16" s="95">
        <v>4.9099999999999998E-2</v>
      </c>
      <c r="Y16" s="94">
        <v>5.2344999999999997</v>
      </c>
      <c r="Z16" s="95">
        <v>6.3E-3</v>
      </c>
      <c r="AA16" s="96">
        <f t="shared" si="6"/>
        <v>830.09180000000003</v>
      </c>
      <c r="AB16" s="119">
        <v>1</v>
      </c>
      <c r="AC16" s="97">
        <f t="shared" si="7"/>
        <v>746.22280000000001</v>
      </c>
      <c r="AD16" s="98">
        <f t="shared" si="8"/>
        <v>0.89896418685258661</v>
      </c>
      <c r="AE16" s="99">
        <f t="shared" si="9"/>
        <v>83.869</v>
      </c>
      <c r="AF16" s="100">
        <f t="shared" si="10"/>
        <v>0.10103581314741333</v>
      </c>
      <c r="AG16" s="99">
        <f t="shared" si="11"/>
        <v>12.7028</v>
      </c>
      <c r="AH16" s="101">
        <f t="shared" si="12"/>
        <v>1.5302885777211629E-2</v>
      </c>
      <c r="AI16" s="102">
        <v>2314</v>
      </c>
      <c r="AJ16" s="103">
        <v>241</v>
      </c>
      <c r="AK16" s="104">
        <v>1740875</v>
      </c>
      <c r="AL16" s="104">
        <v>119831.00000000001</v>
      </c>
      <c r="AM16" s="105">
        <v>14.527751583480066</v>
      </c>
      <c r="AN16" s="6">
        <v>830.09180000000003</v>
      </c>
      <c r="AO16" s="7">
        <v>151511.48699999999</v>
      </c>
      <c r="AP16" s="7">
        <v>17015.029500000001</v>
      </c>
      <c r="AQ16" s="12">
        <f t="shared" si="13"/>
        <v>8.9045679879661677</v>
      </c>
      <c r="AR16" s="57">
        <v>11877.1114</v>
      </c>
      <c r="AS16" s="106">
        <f t="shared" si="14"/>
        <v>1</v>
      </c>
      <c r="AT16" s="60">
        <v>1875.7539999999999</v>
      </c>
      <c r="AU16" s="107">
        <f t="shared" si="5"/>
        <v>1875754</v>
      </c>
      <c r="AV16" s="108">
        <f t="shared" si="15"/>
        <v>0.92809344935423299</v>
      </c>
      <c r="AW16" s="109">
        <f t="shared" si="16"/>
        <v>8.0773644625041441E-2</v>
      </c>
      <c r="AX16" s="109">
        <f t="shared" si="17"/>
        <v>-8.8670939792745429E-3</v>
      </c>
      <c r="AY16" s="110">
        <f t="shared" si="18"/>
        <v>1.0088670939792745</v>
      </c>
      <c r="AZ16" s="111">
        <f t="shared" si="19"/>
        <v>1892386.487</v>
      </c>
      <c r="BA16" s="112">
        <f t="shared" si="20"/>
        <v>0.91993628783505477</v>
      </c>
      <c r="BB16" s="113">
        <f t="shared" si="21"/>
        <v>8.0063712164945303E-2</v>
      </c>
      <c r="BC16" s="114">
        <v>45.86</v>
      </c>
      <c r="BD16" s="115">
        <v>504.01850000000002</v>
      </c>
      <c r="BE16" s="116">
        <f t="shared" si="22"/>
        <v>549.87850000000003</v>
      </c>
      <c r="BF16" s="115">
        <v>280.2133</v>
      </c>
      <c r="BG16" s="121">
        <f t="shared" si="28"/>
        <v>830.09180000000003</v>
      </c>
      <c r="BH16" s="122">
        <f t="shared" si="23"/>
        <v>5.5246901607749886E-2</v>
      </c>
      <c r="BI16" s="117">
        <f t="shared" si="24"/>
        <v>0.60718404880038568</v>
      </c>
      <c r="BJ16" s="117">
        <f t="shared" si="25"/>
        <v>0.6624309504081356</v>
      </c>
      <c r="BK16" s="117">
        <f t="shared" si="26"/>
        <v>0.3375690495918644</v>
      </c>
      <c r="BL16" s="118">
        <f t="shared" si="27"/>
        <v>1</v>
      </c>
    </row>
    <row r="17" spans="1:64" x14ac:dyDescent="0.2">
      <c r="A17" s="64"/>
      <c r="B17" s="199" t="s">
        <v>70</v>
      </c>
      <c r="C17" s="190">
        <v>30.706800000000001</v>
      </c>
      <c r="D17" s="95">
        <v>0.22589999999999999</v>
      </c>
      <c r="E17" s="94">
        <v>0</v>
      </c>
      <c r="F17" s="95">
        <v>0</v>
      </c>
      <c r="G17" s="94">
        <v>7.1853999999999996</v>
      </c>
      <c r="H17" s="95">
        <v>5.2900000000000003E-2</v>
      </c>
      <c r="I17" s="94">
        <v>38.779499999999999</v>
      </c>
      <c r="J17" s="95">
        <v>0.2853</v>
      </c>
      <c r="K17" s="94">
        <v>13.036899999999999</v>
      </c>
      <c r="L17" s="95">
        <v>9.5899999999999999E-2</v>
      </c>
      <c r="M17" s="94">
        <v>0</v>
      </c>
      <c r="N17" s="95">
        <v>0</v>
      </c>
      <c r="O17" s="94">
        <v>14.510300000000001</v>
      </c>
      <c r="P17" s="95">
        <v>0.10680000000000001</v>
      </c>
      <c r="Q17" s="94">
        <v>0</v>
      </c>
      <c r="R17" s="95">
        <v>0</v>
      </c>
      <c r="S17" s="94">
        <v>19.531300000000002</v>
      </c>
      <c r="T17" s="95">
        <v>0.14369999999999999</v>
      </c>
      <c r="U17" s="94">
        <v>9.5288000000000004</v>
      </c>
      <c r="V17" s="95">
        <v>7.0099999999999996E-2</v>
      </c>
      <c r="W17" s="94">
        <v>0</v>
      </c>
      <c r="X17" s="95">
        <v>0</v>
      </c>
      <c r="Y17" s="94">
        <v>2.6332</v>
      </c>
      <c r="Z17" s="95">
        <v>1.9400000000000001E-2</v>
      </c>
      <c r="AA17" s="96">
        <f t="shared" si="6"/>
        <v>135.91219999999998</v>
      </c>
      <c r="AB17" s="119">
        <v>1</v>
      </c>
      <c r="AC17" s="97">
        <f t="shared" si="7"/>
        <v>113.74770000000001</v>
      </c>
      <c r="AD17" s="98">
        <f t="shared" si="8"/>
        <v>0.83692045305719442</v>
      </c>
      <c r="AE17" s="99">
        <f t="shared" si="9"/>
        <v>22.1645</v>
      </c>
      <c r="AF17" s="100">
        <f t="shared" si="10"/>
        <v>0.16307954694280574</v>
      </c>
      <c r="AG17" s="99">
        <f t="shared" si="11"/>
        <v>22.1645</v>
      </c>
      <c r="AH17" s="101">
        <f t="shared" si="12"/>
        <v>0.16307954694280574</v>
      </c>
      <c r="AI17" s="120">
        <v>294</v>
      </c>
      <c r="AJ17" s="103">
        <v>1</v>
      </c>
      <c r="AK17" s="104">
        <v>173178</v>
      </c>
      <c r="AL17" s="104">
        <v>12026.2</v>
      </c>
      <c r="AM17" s="105">
        <v>14.400059869285393</v>
      </c>
      <c r="AN17" s="6">
        <v>135.91213999999999</v>
      </c>
      <c r="AO17" s="7">
        <v>36468.525800000003</v>
      </c>
      <c r="AP17" s="7">
        <v>3225.1421</v>
      </c>
      <c r="AQ17" s="12">
        <f t="shared" si="13"/>
        <v>11.307571781100746</v>
      </c>
      <c r="AR17" s="57">
        <v>3034.3244800000002</v>
      </c>
      <c r="AS17" s="106">
        <f t="shared" si="14"/>
        <v>1.0000004414616677</v>
      </c>
      <c r="AT17" s="60">
        <v>219.73699999999999</v>
      </c>
      <c r="AU17" s="107">
        <f t="shared" si="5"/>
        <v>219737</v>
      </c>
      <c r="AV17" s="108">
        <f t="shared" si="15"/>
        <v>0.78811488279170094</v>
      </c>
      <c r="AW17" s="109">
        <f t="shared" si="16"/>
        <v>0.16596442929502089</v>
      </c>
      <c r="AX17" s="109">
        <f t="shared" si="17"/>
        <v>4.5920687913278191E-2</v>
      </c>
      <c r="AY17" s="110">
        <f t="shared" si="18"/>
        <v>0.95407931208672181</v>
      </c>
      <c r="AZ17" s="111">
        <f t="shared" si="19"/>
        <v>209646.5258</v>
      </c>
      <c r="BA17" s="112">
        <f t="shared" si="20"/>
        <v>0.82604755475513825</v>
      </c>
      <c r="BB17" s="113">
        <f t="shared" si="21"/>
        <v>0.17395244524486178</v>
      </c>
      <c r="BC17" s="114">
        <v>28.057500000000001</v>
      </c>
      <c r="BD17" s="115">
        <v>62.352699999999999</v>
      </c>
      <c r="BE17" s="116">
        <f t="shared" si="22"/>
        <v>90.410200000000003</v>
      </c>
      <c r="BF17" s="115">
        <v>45.501899999999999</v>
      </c>
      <c r="BG17" s="121">
        <f t="shared" si="28"/>
        <v>135.91210000000001</v>
      </c>
      <c r="BH17" s="122">
        <f t="shared" si="23"/>
        <v>0.20643857316603892</v>
      </c>
      <c r="BI17" s="117">
        <f t="shared" si="24"/>
        <v>0.45877225059431792</v>
      </c>
      <c r="BJ17" s="117">
        <f t="shared" si="25"/>
        <v>0.6652108237603569</v>
      </c>
      <c r="BK17" s="117">
        <f t="shared" si="26"/>
        <v>0.3347891762396431</v>
      </c>
      <c r="BL17" s="118">
        <f t="shared" si="27"/>
        <v>1</v>
      </c>
    </row>
    <row r="18" spans="1:64" x14ac:dyDescent="0.2">
      <c r="A18" s="64"/>
      <c r="B18" s="199" t="s">
        <v>71</v>
      </c>
      <c r="C18" s="190">
        <v>0</v>
      </c>
      <c r="D18" s="95">
        <v>0</v>
      </c>
      <c r="E18" s="94">
        <v>28.0184</v>
      </c>
      <c r="F18" s="95">
        <v>0.17749999999999999</v>
      </c>
      <c r="G18" s="94">
        <v>23.113399999999999</v>
      </c>
      <c r="H18" s="95">
        <v>0.14649999999999999</v>
      </c>
      <c r="I18" s="94">
        <v>9.6862999999999992</v>
      </c>
      <c r="J18" s="95">
        <v>6.1400000000000003E-2</v>
      </c>
      <c r="K18" s="94">
        <v>11.7928</v>
      </c>
      <c r="L18" s="95">
        <v>7.4700000000000003E-2</v>
      </c>
      <c r="M18" s="94">
        <v>8.8673000000000002</v>
      </c>
      <c r="N18" s="95">
        <v>5.62E-2</v>
      </c>
      <c r="O18" s="94">
        <v>2.5952000000000002</v>
      </c>
      <c r="P18" s="95">
        <v>1.6400000000000001E-2</v>
      </c>
      <c r="Q18" s="94">
        <v>14.391299999999999</v>
      </c>
      <c r="R18" s="95">
        <v>9.1200000000000003E-2</v>
      </c>
      <c r="S18" s="94">
        <v>16.771100000000001</v>
      </c>
      <c r="T18" s="95">
        <v>0.10630000000000001</v>
      </c>
      <c r="U18" s="94">
        <v>21.16</v>
      </c>
      <c r="V18" s="95">
        <v>0.1341</v>
      </c>
      <c r="W18" s="94">
        <v>9.0599000000000007</v>
      </c>
      <c r="X18" s="95">
        <v>5.74E-2</v>
      </c>
      <c r="Y18" s="94">
        <v>12.3642</v>
      </c>
      <c r="Z18" s="95">
        <v>7.8299999999999995E-2</v>
      </c>
      <c r="AA18" s="96">
        <f t="shared" si="6"/>
        <v>157.81990000000002</v>
      </c>
      <c r="AB18" s="119">
        <v>1</v>
      </c>
      <c r="AC18" s="97">
        <f t="shared" si="7"/>
        <v>105.2334</v>
      </c>
      <c r="AD18" s="98">
        <f t="shared" si="8"/>
        <v>0.66679423824245221</v>
      </c>
      <c r="AE18" s="99">
        <f t="shared" si="9"/>
        <v>52.586500000000001</v>
      </c>
      <c r="AF18" s="100">
        <f t="shared" si="10"/>
        <v>0.33320576175754768</v>
      </c>
      <c r="AG18" s="99">
        <f t="shared" si="11"/>
        <v>29.135300000000001</v>
      </c>
      <c r="AH18" s="101">
        <f t="shared" si="12"/>
        <v>0.18461106615832348</v>
      </c>
      <c r="AI18" s="120">
        <v>784</v>
      </c>
      <c r="AJ18" s="103">
        <v>183</v>
      </c>
      <c r="AK18" s="104">
        <v>314258</v>
      </c>
      <c r="AL18" s="104">
        <v>17934.89</v>
      </c>
      <c r="AM18" s="105">
        <v>17.522159321858123</v>
      </c>
      <c r="AN18" s="6">
        <v>157.81990999999999</v>
      </c>
      <c r="AO18" s="7">
        <v>19077.104899999998</v>
      </c>
      <c r="AP18" s="7">
        <v>1694.1913400000001</v>
      </c>
      <c r="AQ18" s="12">
        <f t="shared" si="13"/>
        <v>11.260301271519896</v>
      </c>
      <c r="AR18" s="57">
        <v>958.10128999999995</v>
      </c>
      <c r="AS18" s="106">
        <f t="shared" si="14"/>
        <v>0.99999993663663866</v>
      </c>
      <c r="AT18" s="60">
        <v>347.84199999999998</v>
      </c>
      <c r="AU18" s="107">
        <f t="shared" si="5"/>
        <v>347842</v>
      </c>
      <c r="AV18" s="108">
        <f t="shared" si="15"/>
        <v>0.90345041714341567</v>
      </c>
      <c r="AW18" s="109">
        <f t="shared" si="16"/>
        <v>5.4844167466838387E-2</v>
      </c>
      <c r="AX18" s="109">
        <f t="shared" si="17"/>
        <v>4.1705415389745926E-2</v>
      </c>
      <c r="AY18" s="110">
        <f t="shared" si="18"/>
        <v>0.95829458461025407</v>
      </c>
      <c r="AZ18" s="111">
        <f t="shared" si="19"/>
        <v>333335.10489999998</v>
      </c>
      <c r="BA18" s="112">
        <f t="shared" si="20"/>
        <v>0.9427689894656518</v>
      </c>
      <c r="BB18" s="113">
        <f t="shared" si="21"/>
        <v>5.7231010534348314E-2</v>
      </c>
      <c r="BC18" s="114">
        <v>22.526</v>
      </c>
      <c r="BD18" s="115">
        <v>77.704599999999999</v>
      </c>
      <c r="BE18" s="116">
        <f t="shared" si="22"/>
        <v>100.2306</v>
      </c>
      <c r="BF18" s="115">
        <v>57.589300000000001</v>
      </c>
      <c r="BG18" s="121">
        <f t="shared" si="28"/>
        <v>157.81989999999999</v>
      </c>
      <c r="BH18" s="122">
        <f t="shared" si="23"/>
        <v>0.14273231702719366</v>
      </c>
      <c r="BI18" s="117">
        <f t="shared" si="24"/>
        <v>0.49236249674470711</v>
      </c>
      <c r="BJ18" s="117">
        <f t="shared" si="25"/>
        <v>0.6350948137719008</v>
      </c>
      <c r="BK18" s="117">
        <f t="shared" si="26"/>
        <v>0.36490518622809925</v>
      </c>
      <c r="BL18" s="118">
        <f t="shared" si="27"/>
        <v>1</v>
      </c>
    </row>
    <row r="19" spans="1:64" x14ac:dyDescent="0.2">
      <c r="A19" s="64"/>
      <c r="B19" s="199" t="s">
        <v>72</v>
      </c>
      <c r="C19" s="190">
        <v>279.51159999999999</v>
      </c>
      <c r="D19" s="95">
        <v>0.22670000000000001</v>
      </c>
      <c r="E19" s="94">
        <v>89.310599999999994</v>
      </c>
      <c r="F19" s="95">
        <v>7.2400000000000006E-2</v>
      </c>
      <c r="G19" s="94">
        <v>93.843599999999995</v>
      </c>
      <c r="H19" s="95">
        <v>7.6100000000000001E-2</v>
      </c>
      <c r="I19" s="94">
        <v>550.96619999999996</v>
      </c>
      <c r="J19" s="95">
        <v>0.44690000000000002</v>
      </c>
      <c r="K19" s="94">
        <v>7.5690999999999997</v>
      </c>
      <c r="L19" s="95">
        <v>6.1000000000000004E-3</v>
      </c>
      <c r="M19" s="94">
        <v>22.042300000000001</v>
      </c>
      <c r="N19" s="95">
        <v>1.7899999999999999E-2</v>
      </c>
      <c r="O19" s="94">
        <v>22.073</v>
      </c>
      <c r="P19" s="95">
        <v>1.7899999999999999E-2</v>
      </c>
      <c r="Q19" s="94">
        <v>63.914999999999999</v>
      </c>
      <c r="R19" s="95">
        <v>5.1799999999999999E-2</v>
      </c>
      <c r="S19" s="94">
        <v>20.915800000000001</v>
      </c>
      <c r="T19" s="95">
        <v>1.7000000000000001E-2</v>
      </c>
      <c r="U19" s="94">
        <v>38.395400000000002</v>
      </c>
      <c r="V19" s="95">
        <v>3.1099999999999999E-2</v>
      </c>
      <c r="W19" s="94">
        <v>40.618099999999998</v>
      </c>
      <c r="X19" s="95">
        <v>3.2899999999999999E-2</v>
      </c>
      <c r="Y19" s="94">
        <v>3.8010999999999999</v>
      </c>
      <c r="Z19" s="95">
        <v>3.0999999999999999E-3</v>
      </c>
      <c r="AA19" s="96">
        <f t="shared" si="6"/>
        <v>1232.9617999999998</v>
      </c>
      <c r="AB19" s="119">
        <v>1</v>
      </c>
      <c r="AC19" s="97">
        <f t="shared" si="7"/>
        <v>1103.7118</v>
      </c>
      <c r="AD19" s="98">
        <f t="shared" si="8"/>
        <v>0.89517112371202434</v>
      </c>
      <c r="AE19" s="99">
        <f t="shared" si="9"/>
        <v>129.25</v>
      </c>
      <c r="AF19" s="100">
        <f t="shared" si="10"/>
        <v>0.10482887628797585</v>
      </c>
      <c r="AG19" s="99">
        <f t="shared" si="11"/>
        <v>24.716900000000003</v>
      </c>
      <c r="AH19" s="101">
        <f t="shared" si="12"/>
        <v>2.0046768683344453E-2</v>
      </c>
      <c r="AI19" s="102">
        <v>4386</v>
      </c>
      <c r="AJ19" s="104">
        <v>1033</v>
      </c>
      <c r="AK19" s="104">
        <v>1868482</v>
      </c>
      <c r="AL19" s="104">
        <v>139378.35</v>
      </c>
      <c r="AM19" s="105">
        <v>13.405826658157453</v>
      </c>
      <c r="AN19" s="6">
        <v>1232.9619600000001</v>
      </c>
      <c r="AO19" s="7">
        <v>185924.484</v>
      </c>
      <c r="AP19" s="7">
        <v>17738.376100000001</v>
      </c>
      <c r="AQ19" s="12">
        <f t="shared" si="13"/>
        <v>10.481482800446427</v>
      </c>
      <c r="AR19" s="57">
        <v>12497.8292</v>
      </c>
      <c r="AS19" s="106">
        <f t="shared" si="14"/>
        <v>0.99999987023119485</v>
      </c>
      <c r="AT19" s="60">
        <v>2076.1460000000002</v>
      </c>
      <c r="AU19" s="107">
        <f t="shared" si="5"/>
        <v>2076146.0000000002</v>
      </c>
      <c r="AV19" s="108">
        <f t="shared" si="15"/>
        <v>0.89997620591230088</v>
      </c>
      <c r="AW19" s="109">
        <f t="shared" si="16"/>
        <v>8.9552701977606577E-2</v>
      </c>
      <c r="AX19" s="109">
        <f t="shared" si="17"/>
        <v>1.0471092110092561E-2</v>
      </c>
      <c r="AY19" s="110">
        <f t="shared" si="18"/>
        <v>0.98952890788990744</v>
      </c>
      <c r="AZ19" s="111">
        <f t="shared" si="19"/>
        <v>2054406.4839999999</v>
      </c>
      <c r="BA19" s="112">
        <f t="shared" si="20"/>
        <v>0.90949966063288579</v>
      </c>
      <c r="BB19" s="113">
        <f t="shared" si="21"/>
        <v>9.0500339367114269E-2</v>
      </c>
      <c r="BC19" s="114">
        <v>391.85340000000002</v>
      </c>
      <c r="BD19" s="115">
        <v>412.76240000000001</v>
      </c>
      <c r="BE19" s="116">
        <f t="shared" si="22"/>
        <v>804.61580000000004</v>
      </c>
      <c r="BF19" s="115">
        <v>428.34609999999998</v>
      </c>
      <c r="BG19" s="121">
        <f t="shared" si="28"/>
        <v>1232.9619</v>
      </c>
      <c r="BH19" s="122">
        <f t="shared" si="23"/>
        <v>0.31781468673119584</v>
      </c>
      <c r="BI19" s="117">
        <f t="shared" si="24"/>
        <v>0.33477303718792933</v>
      </c>
      <c r="BJ19" s="117">
        <f t="shared" si="25"/>
        <v>0.65258772391912523</v>
      </c>
      <c r="BK19" s="117">
        <f t="shared" si="26"/>
        <v>0.34741227608087483</v>
      </c>
      <c r="BL19" s="118">
        <f t="shared" si="27"/>
        <v>1</v>
      </c>
    </row>
    <row r="20" spans="1:64" x14ac:dyDescent="0.2">
      <c r="A20" s="64"/>
      <c r="B20" s="199" t="s">
        <v>73</v>
      </c>
      <c r="C20" s="190">
        <v>113.8455</v>
      </c>
      <c r="D20" s="95">
        <v>0.13930000000000001</v>
      </c>
      <c r="E20" s="94">
        <v>44.1999</v>
      </c>
      <c r="F20" s="95">
        <v>5.4100000000000002E-2</v>
      </c>
      <c r="G20" s="94">
        <v>90.641499999999994</v>
      </c>
      <c r="H20" s="95">
        <v>0.1109</v>
      </c>
      <c r="I20" s="94">
        <v>124.3586</v>
      </c>
      <c r="J20" s="95">
        <v>0.1522</v>
      </c>
      <c r="K20" s="94">
        <v>15.863</v>
      </c>
      <c r="L20" s="95">
        <v>1.9400000000000001E-2</v>
      </c>
      <c r="M20" s="94">
        <v>4.9828999999999999</v>
      </c>
      <c r="N20" s="95">
        <v>6.1000000000000004E-3</v>
      </c>
      <c r="O20" s="94">
        <v>14.280200000000001</v>
      </c>
      <c r="P20" s="95">
        <v>1.7500000000000002E-2</v>
      </c>
      <c r="Q20" s="94">
        <v>54.2455</v>
      </c>
      <c r="R20" s="95">
        <v>6.6400000000000001E-2</v>
      </c>
      <c r="S20" s="94">
        <v>4.7633000000000001</v>
      </c>
      <c r="T20" s="95">
        <v>5.7999999999999996E-3</v>
      </c>
      <c r="U20" s="94">
        <v>156.0138</v>
      </c>
      <c r="V20" s="95">
        <v>0.19089999999999999</v>
      </c>
      <c r="W20" s="94">
        <v>193.87649999999999</v>
      </c>
      <c r="X20" s="95">
        <v>0.23730000000000001</v>
      </c>
      <c r="Y20" s="94">
        <v>0</v>
      </c>
      <c r="Z20" s="95">
        <v>0</v>
      </c>
      <c r="AA20" s="96">
        <f t="shared" si="6"/>
        <v>817.07069999999987</v>
      </c>
      <c r="AB20" s="119">
        <v>1</v>
      </c>
      <c r="AC20" s="97">
        <f t="shared" si="7"/>
        <v>564.18539999999985</v>
      </c>
      <c r="AD20" s="98">
        <f t="shared" si="8"/>
        <v>0.69049765216155701</v>
      </c>
      <c r="AE20" s="99">
        <f t="shared" si="9"/>
        <v>252.8853</v>
      </c>
      <c r="AF20" s="100">
        <f t="shared" si="10"/>
        <v>0.30950234783844294</v>
      </c>
      <c r="AG20" s="99">
        <f t="shared" si="11"/>
        <v>4.7633000000000001</v>
      </c>
      <c r="AH20" s="101">
        <f t="shared" si="12"/>
        <v>5.8297280761628106E-3</v>
      </c>
      <c r="AI20" s="102">
        <v>1915</v>
      </c>
      <c r="AJ20" s="103">
        <v>440</v>
      </c>
      <c r="AK20" s="104">
        <v>1036625</v>
      </c>
      <c r="AL20" s="104">
        <v>66413.600000000006</v>
      </c>
      <c r="AM20" s="105">
        <v>15.608625341797461</v>
      </c>
      <c r="AN20" s="6">
        <v>817.07069000000001</v>
      </c>
      <c r="AO20" s="7">
        <v>112392.469</v>
      </c>
      <c r="AP20" s="7">
        <v>9531.1052199999995</v>
      </c>
      <c r="AQ20" s="12">
        <f t="shared" si="13"/>
        <v>11.792175871079094</v>
      </c>
      <c r="AR20" s="57">
        <v>6132.9005299999999</v>
      </c>
      <c r="AS20" s="106">
        <f t="shared" si="14"/>
        <v>1.0000000122388431</v>
      </c>
      <c r="AT20" s="60">
        <v>1167.7950000000001</v>
      </c>
      <c r="AU20" s="107">
        <f t="shared" si="5"/>
        <v>1167795</v>
      </c>
      <c r="AV20" s="108">
        <f t="shared" si="15"/>
        <v>0.88767720361878588</v>
      </c>
      <c r="AW20" s="109">
        <f t="shared" si="16"/>
        <v>9.6243320959586223E-2</v>
      </c>
      <c r="AX20" s="109">
        <f t="shared" si="17"/>
        <v>1.6079475421627909E-2</v>
      </c>
      <c r="AY20" s="110">
        <f t="shared" si="18"/>
        <v>0.98392052457837209</v>
      </c>
      <c r="AZ20" s="111">
        <f t="shared" si="19"/>
        <v>1149017.469</v>
      </c>
      <c r="BA20" s="112">
        <f t="shared" si="20"/>
        <v>0.90218384660607798</v>
      </c>
      <c r="BB20" s="113">
        <f t="shared" si="21"/>
        <v>9.7816153393921981E-2</v>
      </c>
      <c r="BC20" s="114">
        <v>207.2379</v>
      </c>
      <c r="BD20" s="115">
        <v>514.63710000000003</v>
      </c>
      <c r="BE20" s="116">
        <f t="shared" si="22"/>
        <v>721.875</v>
      </c>
      <c r="BF20" s="115">
        <v>95.195599999999999</v>
      </c>
      <c r="BG20" s="121">
        <f t="shared" si="28"/>
        <v>817.07060000000001</v>
      </c>
      <c r="BH20" s="122">
        <f t="shared" si="23"/>
        <v>0.25363524278073402</v>
      </c>
      <c r="BI20" s="117">
        <f t="shared" si="24"/>
        <v>0.62985634289129977</v>
      </c>
      <c r="BJ20" s="117">
        <f t="shared" si="25"/>
        <v>0.88349158567203367</v>
      </c>
      <c r="BK20" s="117">
        <f t="shared" si="26"/>
        <v>0.11650841432796627</v>
      </c>
      <c r="BL20" s="118">
        <f t="shared" si="27"/>
        <v>1</v>
      </c>
    </row>
    <row r="21" spans="1:64" x14ac:dyDescent="0.2">
      <c r="A21" s="64"/>
      <c r="B21" s="199" t="s">
        <v>74</v>
      </c>
      <c r="C21" s="190">
        <v>0</v>
      </c>
      <c r="D21" s="95">
        <v>0</v>
      </c>
      <c r="E21" s="94">
        <v>32.497500000000002</v>
      </c>
      <c r="F21" s="95">
        <v>0.14430000000000001</v>
      </c>
      <c r="G21" s="94">
        <v>41.748899999999999</v>
      </c>
      <c r="H21" s="95">
        <v>0.18529999999999999</v>
      </c>
      <c r="I21" s="94">
        <v>10.4642</v>
      </c>
      <c r="J21" s="95">
        <v>4.65E-2</v>
      </c>
      <c r="K21" s="94">
        <v>7.6322999999999999</v>
      </c>
      <c r="L21" s="95">
        <v>3.39E-2</v>
      </c>
      <c r="M21" s="94">
        <v>1.3261000000000001</v>
      </c>
      <c r="N21" s="95">
        <v>5.8999999999999999E-3</v>
      </c>
      <c r="O21" s="94">
        <v>3.3793000000000002</v>
      </c>
      <c r="P21" s="95">
        <v>1.4999999999999999E-2</v>
      </c>
      <c r="Q21" s="94">
        <v>31.1494</v>
      </c>
      <c r="R21" s="95">
        <v>0.13830000000000001</v>
      </c>
      <c r="S21" s="94">
        <v>42.168300000000002</v>
      </c>
      <c r="T21" s="95">
        <v>0.18720000000000001</v>
      </c>
      <c r="U21" s="94">
        <v>11.299200000000001</v>
      </c>
      <c r="V21" s="95">
        <v>5.0200000000000002E-2</v>
      </c>
      <c r="W21" s="94">
        <v>32.017400000000002</v>
      </c>
      <c r="X21" s="95">
        <v>0.1421</v>
      </c>
      <c r="Y21" s="94">
        <v>11.5784</v>
      </c>
      <c r="Z21" s="95">
        <v>5.1400000000000001E-2</v>
      </c>
      <c r="AA21" s="96">
        <f t="shared" si="6"/>
        <v>225.261</v>
      </c>
      <c r="AB21" s="119">
        <v>1</v>
      </c>
      <c r="AC21" s="97">
        <f t="shared" si="7"/>
        <v>108.3475</v>
      </c>
      <c r="AD21" s="98">
        <f t="shared" si="8"/>
        <v>0.48098650010432342</v>
      </c>
      <c r="AE21" s="99">
        <f t="shared" si="9"/>
        <v>116.91350000000001</v>
      </c>
      <c r="AF21" s="100">
        <f t="shared" si="10"/>
        <v>0.51901349989567669</v>
      </c>
      <c r="AG21" s="99">
        <f t="shared" si="11"/>
        <v>53.746700000000004</v>
      </c>
      <c r="AH21" s="101">
        <f t="shared" si="12"/>
        <v>0.23859744918117209</v>
      </c>
      <c r="AI21" s="102">
        <v>1325</v>
      </c>
      <c r="AJ21" s="103">
        <v>336</v>
      </c>
      <c r="AK21" s="104">
        <v>510661</v>
      </c>
      <c r="AL21" s="104">
        <v>36059.300000000003</v>
      </c>
      <c r="AM21" s="105">
        <v>14.161700310322162</v>
      </c>
      <c r="AN21" s="6">
        <v>225.26094000000001</v>
      </c>
      <c r="AO21" s="7">
        <v>48414.704599999997</v>
      </c>
      <c r="AP21" s="7">
        <v>4410.8174200000003</v>
      </c>
      <c r="AQ21" s="12">
        <f t="shared" si="13"/>
        <v>10.976356532118709</v>
      </c>
      <c r="AR21" s="57">
        <v>2982.79945</v>
      </c>
      <c r="AS21" s="106">
        <f t="shared" si="14"/>
        <v>1.0000002663577627</v>
      </c>
      <c r="AT21" s="60">
        <v>540.52300000000002</v>
      </c>
      <c r="AU21" s="107">
        <f t="shared" si="5"/>
        <v>540523</v>
      </c>
      <c r="AV21" s="108">
        <f t="shared" si="15"/>
        <v>0.94475350725131035</v>
      </c>
      <c r="AW21" s="109">
        <f t="shared" si="16"/>
        <v>8.9570110060071442E-2</v>
      </c>
      <c r="AX21" s="109">
        <f t="shared" si="17"/>
        <v>-3.4323617311381893E-2</v>
      </c>
      <c r="AY21" s="110">
        <f t="shared" si="18"/>
        <v>1.0343236173113819</v>
      </c>
      <c r="AZ21" s="111">
        <f t="shared" si="19"/>
        <v>559075.70460000006</v>
      </c>
      <c r="BA21" s="112">
        <f t="shared" si="20"/>
        <v>0.91340223837013423</v>
      </c>
      <c r="BB21" s="113">
        <f t="shared" si="21"/>
        <v>8.6597761629865669E-2</v>
      </c>
      <c r="BC21" s="114">
        <v>107.9276</v>
      </c>
      <c r="BD21" s="115">
        <v>85.456199999999995</v>
      </c>
      <c r="BE21" s="116">
        <f t="shared" si="22"/>
        <v>193.38380000000001</v>
      </c>
      <c r="BF21" s="115">
        <v>31.877099999999999</v>
      </c>
      <c r="BG21" s="121">
        <f t="shared" si="28"/>
        <v>225.26089999999999</v>
      </c>
      <c r="BH21" s="122">
        <f t="shared" si="23"/>
        <v>0.4791226528882731</v>
      </c>
      <c r="BI21" s="117">
        <f t="shared" si="24"/>
        <v>0.37936543803207745</v>
      </c>
      <c r="BJ21" s="117">
        <f t="shared" si="25"/>
        <v>0.85848809092035061</v>
      </c>
      <c r="BK21" s="117">
        <f t="shared" si="26"/>
        <v>0.14151190907964942</v>
      </c>
      <c r="BL21" s="118">
        <f t="shared" si="27"/>
        <v>1</v>
      </c>
    </row>
    <row r="22" spans="1:64" x14ac:dyDescent="0.2">
      <c r="A22" s="64"/>
      <c r="B22" s="199" t="s">
        <v>75</v>
      </c>
      <c r="C22" s="190">
        <v>31.376799999999999</v>
      </c>
      <c r="D22" s="95">
        <v>0.14019999999999999</v>
      </c>
      <c r="E22" s="94">
        <v>33.361600000000003</v>
      </c>
      <c r="F22" s="95">
        <v>0.14910000000000001</v>
      </c>
      <c r="G22" s="94">
        <v>11.4123</v>
      </c>
      <c r="H22" s="95">
        <v>5.0999999999999997E-2</v>
      </c>
      <c r="I22" s="94">
        <v>28.8245</v>
      </c>
      <c r="J22" s="95">
        <v>0.1288</v>
      </c>
      <c r="K22" s="94">
        <v>0</v>
      </c>
      <c r="L22" s="95">
        <v>0</v>
      </c>
      <c r="M22" s="94">
        <v>0</v>
      </c>
      <c r="N22" s="95">
        <v>0</v>
      </c>
      <c r="O22" s="94">
        <v>6.0933000000000002</v>
      </c>
      <c r="P22" s="95">
        <v>2.7199999999999998E-2</v>
      </c>
      <c r="Q22" s="94">
        <v>19.233499999999999</v>
      </c>
      <c r="R22" s="95">
        <v>8.5999999999999993E-2</v>
      </c>
      <c r="S22" s="94">
        <v>32.3245</v>
      </c>
      <c r="T22" s="95">
        <v>0.14449999999999999</v>
      </c>
      <c r="U22" s="94">
        <v>9.0564</v>
      </c>
      <c r="V22" s="95">
        <v>4.0500000000000001E-2</v>
      </c>
      <c r="W22" s="94">
        <v>44.044800000000002</v>
      </c>
      <c r="X22" s="95">
        <v>0.1968</v>
      </c>
      <c r="Y22" s="94">
        <v>8.0457999999999998</v>
      </c>
      <c r="Z22" s="95">
        <v>3.5999999999999997E-2</v>
      </c>
      <c r="AA22" s="96">
        <f t="shared" si="6"/>
        <v>223.77350000000001</v>
      </c>
      <c r="AB22" s="119">
        <v>1</v>
      </c>
      <c r="AC22" s="97">
        <f t="shared" si="7"/>
        <v>120.1249</v>
      </c>
      <c r="AD22" s="98">
        <f t="shared" si="8"/>
        <v>0.53681468091619422</v>
      </c>
      <c r="AE22" s="99">
        <f t="shared" si="9"/>
        <v>103.6486</v>
      </c>
      <c r="AF22" s="100">
        <f t="shared" si="10"/>
        <v>0.46318531908380572</v>
      </c>
      <c r="AG22" s="99">
        <f t="shared" si="11"/>
        <v>40.3703</v>
      </c>
      <c r="AH22" s="101">
        <f t="shared" si="12"/>
        <v>0.18040697401613684</v>
      </c>
      <c r="AI22" s="102">
        <v>1355</v>
      </c>
      <c r="AJ22" s="103">
        <v>338</v>
      </c>
      <c r="AK22" s="104">
        <v>485424</v>
      </c>
      <c r="AL22" s="104">
        <v>38353.43</v>
      </c>
      <c r="AM22" s="105">
        <v>12.656599422789565</v>
      </c>
      <c r="AN22" s="6">
        <v>223.77349000000001</v>
      </c>
      <c r="AO22" s="7">
        <v>40568.0239</v>
      </c>
      <c r="AP22" s="7">
        <v>3832.9744599999999</v>
      </c>
      <c r="AQ22" s="12">
        <f t="shared" si="13"/>
        <v>10.583953617055931</v>
      </c>
      <c r="AR22" s="57">
        <v>2788.6664000000001</v>
      </c>
      <c r="AS22" s="106">
        <f t="shared" si="14"/>
        <v>1.0000000446880459</v>
      </c>
      <c r="AT22" s="60">
        <v>518.572</v>
      </c>
      <c r="AU22" s="107">
        <f t="shared" si="5"/>
        <v>518572</v>
      </c>
      <c r="AV22" s="108">
        <f t="shared" si="15"/>
        <v>0.93607830735172748</v>
      </c>
      <c r="AW22" s="109">
        <f t="shared" si="16"/>
        <v>7.8230262914310844E-2</v>
      </c>
      <c r="AX22" s="109">
        <f t="shared" si="17"/>
        <v>-1.4308570266038378E-2</v>
      </c>
      <c r="AY22" s="110">
        <f t="shared" si="18"/>
        <v>1.0143085702660384</v>
      </c>
      <c r="AZ22" s="111">
        <f t="shared" si="19"/>
        <v>525992.02390000003</v>
      </c>
      <c r="BA22" s="112">
        <f t="shared" si="20"/>
        <v>0.92287330975248272</v>
      </c>
      <c r="BB22" s="113">
        <f t="shared" si="21"/>
        <v>7.7126690247517268E-2</v>
      </c>
      <c r="BC22" s="114">
        <v>97.990099999999998</v>
      </c>
      <c r="BD22" s="115">
        <v>104.25879999999999</v>
      </c>
      <c r="BE22" s="116">
        <f t="shared" si="22"/>
        <v>202.24889999999999</v>
      </c>
      <c r="BF22" s="115">
        <v>21.5246</v>
      </c>
      <c r="BG22" s="121">
        <f t="shared" si="28"/>
        <v>223.77349999999998</v>
      </c>
      <c r="BH22" s="122">
        <f t="shared" si="23"/>
        <v>0.43789858942189314</v>
      </c>
      <c r="BI22" s="117">
        <f t="shared" si="24"/>
        <v>0.46591218352485886</v>
      </c>
      <c r="BJ22" s="117">
        <f t="shared" si="25"/>
        <v>0.90381077294675194</v>
      </c>
      <c r="BK22" s="117">
        <f t="shared" si="26"/>
        <v>9.6189227053248047E-2</v>
      </c>
      <c r="BL22" s="118">
        <f t="shared" si="27"/>
        <v>1</v>
      </c>
    </row>
    <row r="23" spans="1:64" x14ac:dyDescent="0.2">
      <c r="A23" s="64"/>
      <c r="B23" s="199" t="s">
        <v>76</v>
      </c>
      <c r="C23" s="190">
        <v>94.327600000000004</v>
      </c>
      <c r="D23" s="95">
        <v>0.19489999999999999</v>
      </c>
      <c r="E23" s="94">
        <v>0</v>
      </c>
      <c r="F23" s="95">
        <v>0</v>
      </c>
      <c r="G23" s="94">
        <v>12.9732</v>
      </c>
      <c r="H23" s="95">
        <v>2.6800000000000001E-2</v>
      </c>
      <c r="I23" s="94">
        <v>84.044799999999995</v>
      </c>
      <c r="J23" s="95">
        <v>0.1736</v>
      </c>
      <c r="K23" s="94">
        <v>2.4927999999999999</v>
      </c>
      <c r="L23" s="95">
        <v>5.1999999999999998E-3</v>
      </c>
      <c r="M23" s="94">
        <v>2.2745000000000002</v>
      </c>
      <c r="N23" s="95">
        <v>4.7000000000000002E-3</v>
      </c>
      <c r="O23" s="94">
        <v>4.5949</v>
      </c>
      <c r="P23" s="95">
        <v>9.4999999999999998E-3</v>
      </c>
      <c r="Q23" s="94">
        <v>88.652699999999996</v>
      </c>
      <c r="R23" s="95">
        <v>0.1832</v>
      </c>
      <c r="S23" s="94">
        <v>57.569200000000002</v>
      </c>
      <c r="T23" s="95">
        <v>0.11890000000000001</v>
      </c>
      <c r="U23" s="94">
        <v>36.329500000000003</v>
      </c>
      <c r="V23" s="95">
        <v>7.51E-2</v>
      </c>
      <c r="W23" s="94">
        <v>89.260599999999997</v>
      </c>
      <c r="X23" s="95">
        <v>0.18440000000000001</v>
      </c>
      <c r="Y23" s="94">
        <v>11.488899999999999</v>
      </c>
      <c r="Z23" s="95">
        <v>2.3699999999999999E-2</v>
      </c>
      <c r="AA23" s="96">
        <f t="shared" si="6"/>
        <v>484.00869999999998</v>
      </c>
      <c r="AB23" s="119">
        <v>1</v>
      </c>
      <c r="AC23" s="97">
        <f t="shared" si="7"/>
        <v>237.03729999999996</v>
      </c>
      <c r="AD23" s="98">
        <f t="shared" si="8"/>
        <v>0.48973768446724197</v>
      </c>
      <c r="AE23" s="99">
        <f t="shared" si="9"/>
        <v>246.97140000000002</v>
      </c>
      <c r="AF23" s="100">
        <f t="shared" si="10"/>
        <v>0.51026231553275803</v>
      </c>
      <c r="AG23" s="99">
        <f t="shared" si="11"/>
        <v>69.058099999999996</v>
      </c>
      <c r="AH23" s="101">
        <f t="shared" si="12"/>
        <v>0.14267946010061389</v>
      </c>
      <c r="AI23" s="102">
        <v>1535</v>
      </c>
      <c r="AJ23" s="103">
        <v>185</v>
      </c>
      <c r="AK23" s="104">
        <v>654239</v>
      </c>
      <c r="AL23" s="104">
        <v>43379.899999999994</v>
      </c>
      <c r="AM23" s="105">
        <v>15.081616140193963</v>
      </c>
      <c r="AN23" s="6">
        <v>484.0086</v>
      </c>
      <c r="AO23" s="7">
        <v>64470.148000000001</v>
      </c>
      <c r="AP23" s="7">
        <v>6269.0488599999999</v>
      </c>
      <c r="AQ23" s="12">
        <f t="shared" si="13"/>
        <v>10.28388028865993</v>
      </c>
      <c r="AR23" s="57">
        <v>4038.1370400000001</v>
      </c>
      <c r="AS23" s="106">
        <f t="shared" si="14"/>
        <v>1.000000206607899</v>
      </c>
      <c r="AT23" s="60">
        <v>743.26800000000003</v>
      </c>
      <c r="AU23" s="107">
        <f t="shared" si="5"/>
        <v>743268</v>
      </c>
      <c r="AV23" s="108">
        <f t="shared" si="15"/>
        <v>0.88021951705172297</v>
      </c>
      <c r="AW23" s="109">
        <f t="shared" si="16"/>
        <v>8.6738764483335756E-2</v>
      </c>
      <c r="AX23" s="109">
        <f t="shared" si="17"/>
        <v>3.3041718464941305E-2</v>
      </c>
      <c r="AY23" s="110">
        <f t="shared" si="18"/>
        <v>0.96695828153505869</v>
      </c>
      <c r="AZ23" s="111">
        <f t="shared" si="19"/>
        <v>718709.14800000004</v>
      </c>
      <c r="BA23" s="112">
        <f t="shared" si="20"/>
        <v>0.91029730429979161</v>
      </c>
      <c r="BB23" s="113">
        <f t="shared" si="21"/>
        <v>8.9702695700208335E-2</v>
      </c>
      <c r="BC23" s="114">
        <v>118.16800000000001</v>
      </c>
      <c r="BD23" s="115">
        <v>260.23829999999998</v>
      </c>
      <c r="BE23" s="116">
        <f t="shared" si="22"/>
        <v>378.40629999999999</v>
      </c>
      <c r="BF23" s="115">
        <v>105.6022</v>
      </c>
      <c r="BG23" s="121">
        <f t="shared" si="28"/>
        <v>484.00849999999997</v>
      </c>
      <c r="BH23" s="122">
        <f t="shared" si="23"/>
        <v>0.24414447266938497</v>
      </c>
      <c r="BI23" s="117">
        <f t="shared" si="24"/>
        <v>0.53767299541227065</v>
      </c>
      <c r="BJ23" s="117">
        <f t="shared" si="25"/>
        <v>0.78181746808165564</v>
      </c>
      <c r="BK23" s="117">
        <f t="shared" si="26"/>
        <v>0.21818253191834441</v>
      </c>
      <c r="BL23" s="118">
        <f t="shared" si="27"/>
        <v>1</v>
      </c>
    </row>
    <row r="24" spans="1:64" x14ac:dyDescent="0.2">
      <c r="A24" s="64"/>
      <c r="B24" s="199" t="s">
        <v>77</v>
      </c>
      <c r="C24" s="190">
        <v>52.871499999999997</v>
      </c>
      <c r="D24" s="95">
        <v>0.14660000000000001</v>
      </c>
      <c r="E24" s="94">
        <v>90.988500000000002</v>
      </c>
      <c r="F24" s="95">
        <v>0.25219999999999998</v>
      </c>
      <c r="G24" s="94">
        <v>30.476700000000001</v>
      </c>
      <c r="H24" s="95">
        <v>8.4500000000000006E-2</v>
      </c>
      <c r="I24" s="94">
        <v>69.084999999999994</v>
      </c>
      <c r="J24" s="95">
        <v>0.1915</v>
      </c>
      <c r="K24" s="94">
        <v>10.344200000000001</v>
      </c>
      <c r="L24" s="95">
        <v>2.87E-2</v>
      </c>
      <c r="M24" s="94">
        <v>26.939299999999999</v>
      </c>
      <c r="N24" s="95">
        <v>7.4700000000000003E-2</v>
      </c>
      <c r="O24" s="94">
        <v>13.835000000000001</v>
      </c>
      <c r="P24" s="95">
        <v>3.8399999999999997E-2</v>
      </c>
      <c r="Q24" s="94">
        <v>24.973199999999999</v>
      </c>
      <c r="R24" s="95">
        <v>6.9199999999999998E-2</v>
      </c>
      <c r="S24" s="94">
        <v>4.0871000000000004</v>
      </c>
      <c r="T24" s="95">
        <v>1.1299999999999999E-2</v>
      </c>
      <c r="U24" s="94">
        <v>19.909099999999999</v>
      </c>
      <c r="V24" s="95">
        <v>5.5199999999999999E-2</v>
      </c>
      <c r="W24" s="94">
        <v>11.773</v>
      </c>
      <c r="X24" s="95">
        <v>3.2599999999999997E-2</v>
      </c>
      <c r="Y24" s="94">
        <v>5.4530000000000003</v>
      </c>
      <c r="Z24" s="95">
        <v>1.5100000000000001E-2</v>
      </c>
      <c r="AA24" s="96">
        <f t="shared" si="6"/>
        <v>360.73560000000003</v>
      </c>
      <c r="AB24" s="119">
        <v>1</v>
      </c>
      <c r="AC24" s="97">
        <f t="shared" si="7"/>
        <v>314.44929999999999</v>
      </c>
      <c r="AD24" s="98">
        <f t="shared" si="8"/>
        <v>0.87168912632964413</v>
      </c>
      <c r="AE24" s="99">
        <f t="shared" si="9"/>
        <v>46.286299999999997</v>
      </c>
      <c r="AF24" s="100">
        <f t="shared" si="10"/>
        <v>0.12831087367035576</v>
      </c>
      <c r="AG24" s="99">
        <f t="shared" si="11"/>
        <v>9.5401000000000007</v>
      </c>
      <c r="AH24" s="101">
        <f t="shared" si="12"/>
        <v>2.6446239295484005E-2</v>
      </c>
      <c r="AI24" s="102">
        <v>1367</v>
      </c>
      <c r="AJ24" s="103">
        <v>198</v>
      </c>
      <c r="AK24" s="104">
        <v>683216</v>
      </c>
      <c r="AL24" s="104">
        <v>38773.47</v>
      </c>
      <c r="AM24" s="105">
        <v>17.620708180103559</v>
      </c>
      <c r="AN24" s="6">
        <v>360.73563000000001</v>
      </c>
      <c r="AO24" s="7">
        <v>102439.363</v>
      </c>
      <c r="AP24" s="7">
        <v>9314.1212099999993</v>
      </c>
      <c r="AQ24" s="12">
        <f t="shared" si="13"/>
        <v>10.998285365882628</v>
      </c>
      <c r="AR24" s="57">
        <v>7683.2354800000003</v>
      </c>
      <c r="AS24" s="106">
        <f t="shared" si="14"/>
        <v>0.99999991683660416</v>
      </c>
      <c r="AT24" s="60">
        <v>790.30100000000004</v>
      </c>
      <c r="AU24" s="107">
        <f t="shared" si="5"/>
        <v>790301</v>
      </c>
      <c r="AV24" s="108">
        <f t="shared" si="15"/>
        <v>0.86450099392509938</v>
      </c>
      <c r="AW24" s="109">
        <f t="shared" si="16"/>
        <v>0.12962069262217812</v>
      </c>
      <c r="AX24" s="109">
        <f t="shared" si="17"/>
        <v>5.8783134527224945E-3</v>
      </c>
      <c r="AY24" s="110">
        <f t="shared" si="18"/>
        <v>0.99412168654727751</v>
      </c>
      <c r="AZ24" s="111">
        <f t="shared" si="19"/>
        <v>785655.36300000001</v>
      </c>
      <c r="BA24" s="112">
        <f t="shared" si="20"/>
        <v>0.86961285084488116</v>
      </c>
      <c r="BB24" s="113">
        <f t="shared" si="21"/>
        <v>0.13038714915511879</v>
      </c>
      <c r="BC24" s="114">
        <v>152.55959999999999</v>
      </c>
      <c r="BD24" s="115">
        <v>134.89949999999999</v>
      </c>
      <c r="BE24" s="116">
        <f t="shared" si="22"/>
        <v>287.45909999999998</v>
      </c>
      <c r="BF24" s="115">
        <v>73.276499999999999</v>
      </c>
      <c r="BG24" s="121">
        <f t="shared" si="28"/>
        <v>360.73559999999998</v>
      </c>
      <c r="BH24" s="122">
        <f t="shared" si="23"/>
        <v>0.42291251542681119</v>
      </c>
      <c r="BI24" s="117">
        <f t="shared" si="24"/>
        <v>0.37395671511212092</v>
      </c>
      <c r="BJ24" s="117">
        <f t="shared" si="25"/>
        <v>0.79686923053893211</v>
      </c>
      <c r="BK24" s="117">
        <f t="shared" si="26"/>
        <v>0.20313076946106789</v>
      </c>
      <c r="BL24" s="118">
        <f t="shared" si="27"/>
        <v>1</v>
      </c>
    </row>
    <row r="25" spans="1:64" x14ac:dyDescent="0.2">
      <c r="A25" s="64"/>
      <c r="B25" s="199" t="s">
        <v>78</v>
      </c>
      <c r="C25" s="190">
        <v>0</v>
      </c>
      <c r="D25" s="95">
        <v>0</v>
      </c>
      <c r="E25" s="94">
        <v>0</v>
      </c>
      <c r="F25" s="95">
        <v>0</v>
      </c>
      <c r="G25" s="94">
        <v>25.4344</v>
      </c>
      <c r="H25" s="95">
        <v>0.19589999999999999</v>
      </c>
      <c r="I25" s="94">
        <v>0</v>
      </c>
      <c r="J25" s="95">
        <v>0</v>
      </c>
      <c r="K25" s="94">
        <v>10.2651</v>
      </c>
      <c r="L25" s="95">
        <v>7.9100000000000004E-2</v>
      </c>
      <c r="M25" s="94">
        <v>2.9424999999999999</v>
      </c>
      <c r="N25" s="95">
        <v>2.2700000000000001E-2</v>
      </c>
      <c r="O25" s="94">
        <v>4.2987000000000002</v>
      </c>
      <c r="P25" s="95">
        <v>3.3099999999999997E-2</v>
      </c>
      <c r="Q25" s="94">
        <v>5.2409999999999997</v>
      </c>
      <c r="R25" s="95">
        <v>4.0399999999999998E-2</v>
      </c>
      <c r="S25" s="94">
        <v>10.7288</v>
      </c>
      <c r="T25" s="95">
        <v>8.2600000000000007E-2</v>
      </c>
      <c r="U25" s="94">
        <v>22.789000000000001</v>
      </c>
      <c r="V25" s="95">
        <v>0.17549999999999999</v>
      </c>
      <c r="W25" s="94">
        <v>36.326900000000002</v>
      </c>
      <c r="X25" s="95">
        <v>0.27979999999999999</v>
      </c>
      <c r="Y25" s="94">
        <v>11.8262</v>
      </c>
      <c r="Z25" s="95">
        <v>9.11E-2</v>
      </c>
      <c r="AA25" s="96">
        <f t="shared" si="6"/>
        <v>129.8526</v>
      </c>
      <c r="AB25" s="119">
        <v>1</v>
      </c>
      <c r="AC25" s="97">
        <f t="shared" si="7"/>
        <v>65.729700000000008</v>
      </c>
      <c r="AD25" s="98">
        <f t="shared" si="8"/>
        <v>0.50618701512330144</v>
      </c>
      <c r="AE25" s="99">
        <f t="shared" si="9"/>
        <v>64.122900000000001</v>
      </c>
      <c r="AF25" s="100">
        <f t="shared" si="10"/>
        <v>0.49381298487669867</v>
      </c>
      <c r="AG25" s="99">
        <f t="shared" si="11"/>
        <v>22.555</v>
      </c>
      <c r="AH25" s="101">
        <f t="shared" si="12"/>
        <v>0.17369694561371896</v>
      </c>
      <c r="AI25" s="120">
        <v>598</v>
      </c>
      <c r="AJ25" s="103">
        <v>278</v>
      </c>
      <c r="AK25" s="104">
        <v>173215</v>
      </c>
      <c r="AL25" s="104">
        <v>15417.56</v>
      </c>
      <c r="AM25" s="105">
        <v>11.234916549700472</v>
      </c>
      <c r="AN25" s="6">
        <v>129.85274999999999</v>
      </c>
      <c r="AO25" s="7">
        <v>17015.932100000002</v>
      </c>
      <c r="AP25" s="7">
        <v>2200.0750800000001</v>
      </c>
      <c r="AQ25" s="12">
        <f t="shared" si="13"/>
        <v>7.7342506420280897</v>
      </c>
      <c r="AR25" s="57">
        <v>2676.8062300000001</v>
      </c>
      <c r="AS25" s="106">
        <f t="shared" si="14"/>
        <v>0.99999884484541146</v>
      </c>
      <c r="AT25" s="60">
        <v>187.18600000000001</v>
      </c>
      <c r="AU25" s="107">
        <f t="shared" si="5"/>
        <v>187186</v>
      </c>
      <c r="AV25" s="108">
        <f t="shared" si="15"/>
        <v>0.92536300791725878</v>
      </c>
      <c r="AW25" s="109">
        <f t="shared" si="16"/>
        <v>9.0903871550222781E-2</v>
      </c>
      <c r="AX25" s="109">
        <f t="shared" si="17"/>
        <v>-1.6266879467481621E-2</v>
      </c>
      <c r="AY25" s="110">
        <f t="shared" si="18"/>
        <v>1.0162668794674816</v>
      </c>
      <c r="AZ25" s="111">
        <f t="shared" si="19"/>
        <v>190230.93210000001</v>
      </c>
      <c r="BA25" s="112">
        <f t="shared" si="20"/>
        <v>0.91055118159724346</v>
      </c>
      <c r="BB25" s="113">
        <f t="shared" si="21"/>
        <v>8.9448818402756494E-2</v>
      </c>
      <c r="BC25" s="114">
        <v>11.726900000000001</v>
      </c>
      <c r="BD25" s="115">
        <v>24.923200000000001</v>
      </c>
      <c r="BE25" s="116">
        <f t="shared" si="22"/>
        <v>36.650100000000002</v>
      </c>
      <c r="BF25" s="115">
        <v>93.202699999999993</v>
      </c>
      <c r="BG25" s="121">
        <f t="shared" si="28"/>
        <v>129.8528</v>
      </c>
      <c r="BH25" s="122">
        <f t="shared" si="23"/>
        <v>9.0309180857093579E-2</v>
      </c>
      <c r="BI25" s="117">
        <f t="shared" si="24"/>
        <v>0.19193425170654774</v>
      </c>
      <c r="BJ25" s="117">
        <f t="shared" si="25"/>
        <v>0.28224343256364132</v>
      </c>
      <c r="BK25" s="117">
        <f t="shared" si="26"/>
        <v>0.71775656743635863</v>
      </c>
      <c r="BL25" s="118">
        <f t="shared" si="27"/>
        <v>1</v>
      </c>
    </row>
    <row r="26" spans="1:64" x14ac:dyDescent="0.2">
      <c r="A26" s="64"/>
      <c r="B26" s="199" t="s">
        <v>79</v>
      </c>
      <c r="C26" s="190">
        <v>71.266400000000004</v>
      </c>
      <c r="D26" s="95">
        <v>0.1046</v>
      </c>
      <c r="E26" s="94">
        <v>14.120699999999999</v>
      </c>
      <c r="F26" s="95">
        <v>2.07E-2</v>
      </c>
      <c r="G26" s="94">
        <v>59.872599999999998</v>
      </c>
      <c r="H26" s="95">
        <v>8.7900000000000006E-2</v>
      </c>
      <c r="I26" s="94">
        <v>353.4289</v>
      </c>
      <c r="J26" s="95">
        <v>0.51870000000000005</v>
      </c>
      <c r="K26" s="94">
        <v>27.732500000000002</v>
      </c>
      <c r="L26" s="95">
        <v>4.07E-2</v>
      </c>
      <c r="M26" s="94">
        <v>16.9712</v>
      </c>
      <c r="N26" s="95">
        <v>2.4899999999999999E-2</v>
      </c>
      <c r="O26" s="94">
        <v>10.898099999999999</v>
      </c>
      <c r="P26" s="95">
        <v>1.6E-2</v>
      </c>
      <c r="Q26" s="94">
        <v>11.833</v>
      </c>
      <c r="R26" s="95">
        <v>1.7399999999999999E-2</v>
      </c>
      <c r="S26" s="94">
        <v>0</v>
      </c>
      <c r="T26" s="95">
        <v>0</v>
      </c>
      <c r="U26" s="94">
        <v>96.195400000000006</v>
      </c>
      <c r="V26" s="95">
        <v>0.14119999999999999</v>
      </c>
      <c r="W26" s="94">
        <v>19.027000000000001</v>
      </c>
      <c r="X26" s="95">
        <v>2.7900000000000001E-2</v>
      </c>
      <c r="Y26" s="94">
        <v>0</v>
      </c>
      <c r="Z26" s="95">
        <v>0</v>
      </c>
      <c r="AA26" s="96">
        <f t="shared" si="6"/>
        <v>681.34580000000005</v>
      </c>
      <c r="AB26" s="119">
        <v>1</v>
      </c>
      <c r="AC26" s="97">
        <f t="shared" si="7"/>
        <v>650.48579999999993</v>
      </c>
      <c r="AD26" s="98">
        <f t="shared" si="8"/>
        <v>0.95470728666706373</v>
      </c>
      <c r="AE26" s="99">
        <f t="shared" si="9"/>
        <v>30.86</v>
      </c>
      <c r="AF26" s="100">
        <f t="shared" si="10"/>
        <v>4.5292713332936073E-2</v>
      </c>
      <c r="AG26" s="99">
        <f t="shared" si="11"/>
        <v>0</v>
      </c>
      <c r="AH26" s="101">
        <f t="shared" si="12"/>
        <v>0</v>
      </c>
      <c r="AI26" s="102">
        <v>1417</v>
      </c>
      <c r="AJ26" s="103">
        <v>25</v>
      </c>
      <c r="AK26" s="104">
        <v>881461</v>
      </c>
      <c r="AL26" s="104">
        <v>62442.649999999994</v>
      </c>
      <c r="AM26" s="105">
        <v>14.116329143622188</v>
      </c>
      <c r="AN26" s="6">
        <v>681.34577999999999</v>
      </c>
      <c r="AO26" s="7">
        <v>125065.264</v>
      </c>
      <c r="AP26" s="7">
        <v>14340.921</v>
      </c>
      <c r="AQ26" s="12">
        <f t="shared" si="13"/>
        <v>8.7208669512927379</v>
      </c>
      <c r="AR26" s="57">
        <v>10200.437</v>
      </c>
      <c r="AS26" s="106">
        <f t="shared" si="14"/>
        <v>1.0000000293536713</v>
      </c>
      <c r="AT26" s="60">
        <v>1000.926</v>
      </c>
      <c r="AU26" s="107">
        <f t="shared" si="5"/>
        <v>1000926</v>
      </c>
      <c r="AV26" s="108">
        <f t="shared" si="15"/>
        <v>0.8806455222463998</v>
      </c>
      <c r="AW26" s="109">
        <f t="shared" si="16"/>
        <v>0.12494956070678551</v>
      </c>
      <c r="AX26" s="109">
        <f t="shared" si="17"/>
        <v>-5.5950829531852264E-3</v>
      </c>
      <c r="AY26" s="110">
        <f t="shared" si="18"/>
        <v>1.0055950829531852</v>
      </c>
      <c r="AZ26" s="111">
        <f t="shared" si="19"/>
        <v>1006526.264</v>
      </c>
      <c r="BA26" s="112">
        <f t="shared" si="20"/>
        <v>0.87574565267379856</v>
      </c>
      <c r="BB26" s="113">
        <f t="shared" si="21"/>
        <v>0.12425434732620151</v>
      </c>
      <c r="BC26" s="114">
        <v>141.2662</v>
      </c>
      <c r="BD26" s="115">
        <v>271.84910000000002</v>
      </c>
      <c r="BE26" s="116">
        <f t="shared" si="22"/>
        <v>413.11530000000005</v>
      </c>
      <c r="BF26" s="115">
        <v>268.23050000000001</v>
      </c>
      <c r="BG26" s="121">
        <f t="shared" si="28"/>
        <v>681.34580000000005</v>
      </c>
      <c r="BH26" s="122">
        <f t="shared" si="23"/>
        <v>0.20733407324151698</v>
      </c>
      <c r="BI26" s="117">
        <f t="shared" si="24"/>
        <v>0.39898844316645088</v>
      </c>
      <c r="BJ26" s="117">
        <f t="shared" si="25"/>
        <v>0.60632251640796786</v>
      </c>
      <c r="BK26" s="117">
        <f t="shared" si="26"/>
        <v>0.39367748359203208</v>
      </c>
      <c r="BL26" s="118">
        <f t="shared" si="27"/>
        <v>1</v>
      </c>
    </row>
    <row r="27" spans="1:64" x14ac:dyDescent="0.2">
      <c r="A27" s="64"/>
      <c r="B27" s="199" t="s">
        <v>80</v>
      </c>
      <c r="C27" s="190">
        <v>55.729300000000002</v>
      </c>
      <c r="D27" s="95">
        <v>8.43E-2</v>
      </c>
      <c r="E27" s="94">
        <v>41.315600000000003</v>
      </c>
      <c r="F27" s="95">
        <v>6.25E-2</v>
      </c>
      <c r="G27" s="94">
        <v>40.2605</v>
      </c>
      <c r="H27" s="95">
        <v>6.0900000000000003E-2</v>
      </c>
      <c r="I27" s="94">
        <v>397.0652</v>
      </c>
      <c r="J27" s="95">
        <v>0.60029999999999994</v>
      </c>
      <c r="K27" s="94">
        <v>35.405099999999997</v>
      </c>
      <c r="L27" s="95">
        <v>5.3499999999999999E-2</v>
      </c>
      <c r="M27" s="94">
        <v>2.1878000000000002</v>
      </c>
      <c r="N27" s="95">
        <v>3.3E-3</v>
      </c>
      <c r="O27" s="94">
        <v>6.7809999999999997</v>
      </c>
      <c r="P27" s="95">
        <v>1.03E-2</v>
      </c>
      <c r="Q27" s="94">
        <v>6.7694000000000001</v>
      </c>
      <c r="R27" s="95">
        <v>1.0200000000000001E-2</v>
      </c>
      <c r="S27" s="94">
        <v>0</v>
      </c>
      <c r="T27" s="95">
        <v>0</v>
      </c>
      <c r="U27" s="94">
        <v>69.579899999999995</v>
      </c>
      <c r="V27" s="95">
        <v>0.1052</v>
      </c>
      <c r="W27" s="94">
        <v>6.3723000000000001</v>
      </c>
      <c r="X27" s="95">
        <v>9.5999999999999992E-3</v>
      </c>
      <c r="Y27" s="94">
        <v>0</v>
      </c>
      <c r="Z27" s="95">
        <v>0</v>
      </c>
      <c r="AA27" s="96">
        <f t="shared" si="6"/>
        <v>661.46609999999987</v>
      </c>
      <c r="AB27" s="119">
        <v>1</v>
      </c>
      <c r="AC27" s="97">
        <f t="shared" si="7"/>
        <v>648.32439999999986</v>
      </c>
      <c r="AD27" s="98">
        <f t="shared" si="8"/>
        <v>0.98013246635012741</v>
      </c>
      <c r="AE27" s="99">
        <f t="shared" si="9"/>
        <v>13.1417</v>
      </c>
      <c r="AF27" s="100">
        <f t="shared" si="10"/>
        <v>1.9867533649872614E-2</v>
      </c>
      <c r="AG27" s="99">
        <f t="shared" si="11"/>
        <v>0</v>
      </c>
      <c r="AH27" s="101">
        <f t="shared" si="12"/>
        <v>0</v>
      </c>
      <c r="AI27" s="102">
        <v>1847</v>
      </c>
      <c r="AJ27" s="103">
        <v>426</v>
      </c>
      <c r="AK27" s="104">
        <v>921180</v>
      </c>
      <c r="AL27" s="104">
        <v>76328.75</v>
      </c>
      <c r="AM27" s="105">
        <v>12.068584904115422</v>
      </c>
      <c r="AN27" s="6">
        <v>661.46614</v>
      </c>
      <c r="AO27" s="7">
        <v>102630.818</v>
      </c>
      <c r="AP27" s="7">
        <v>15142.967199999999</v>
      </c>
      <c r="AQ27" s="12">
        <f t="shared" si="13"/>
        <v>6.777457591006339</v>
      </c>
      <c r="AR27" s="57">
        <v>9567.1282800000008</v>
      </c>
      <c r="AS27" s="106">
        <f t="shared" si="14"/>
        <v>0.9999999395282726</v>
      </c>
      <c r="AT27" s="60">
        <v>1006.002</v>
      </c>
      <c r="AU27" s="107">
        <f t="shared" si="5"/>
        <v>1006002</v>
      </c>
      <c r="AV27" s="108">
        <f t="shared" si="15"/>
        <v>0.91568406424639315</v>
      </c>
      <c r="AW27" s="109">
        <f t="shared" si="16"/>
        <v>0.10201850294532218</v>
      </c>
      <c r="AX27" s="109">
        <f t="shared" si="17"/>
        <v>-1.7702567191715257E-2</v>
      </c>
      <c r="AY27" s="110">
        <f t="shared" si="18"/>
        <v>1.0177025671917153</v>
      </c>
      <c r="AZ27" s="111">
        <f t="shared" si="19"/>
        <v>1023810.818</v>
      </c>
      <c r="BA27" s="112">
        <f t="shared" si="20"/>
        <v>0.89975607192695251</v>
      </c>
      <c r="BB27" s="113">
        <f t="shared" si="21"/>
        <v>0.10024392807304758</v>
      </c>
      <c r="BC27" s="114">
        <v>167.8381</v>
      </c>
      <c r="BD27" s="115">
        <v>104.6687</v>
      </c>
      <c r="BE27" s="116">
        <f t="shared" si="22"/>
        <v>272.5068</v>
      </c>
      <c r="BF27" s="115">
        <v>388.95940000000002</v>
      </c>
      <c r="BG27" s="121">
        <f t="shared" si="28"/>
        <v>661.46620000000007</v>
      </c>
      <c r="BH27" s="122">
        <f t="shared" si="23"/>
        <v>0.25373647209789402</v>
      </c>
      <c r="BI27" s="117">
        <f t="shared" si="24"/>
        <v>0.1582374125843467</v>
      </c>
      <c r="BJ27" s="117">
        <f t="shared" si="25"/>
        <v>0.41197388468224072</v>
      </c>
      <c r="BK27" s="117">
        <f t="shared" si="26"/>
        <v>0.58802611531775917</v>
      </c>
      <c r="BL27" s="118">
        <f t="shared" si="27"/>
        <v>1</v>
      </c>
    </row>
    <row r="28" spans="1:64" x14ac:dyDescent="0.2">
      <c r="A28" s="64"/>
      <c r="B28" s="199" t="s">
        <v>81</v>
      </c>
      <c r="C28" s="190">
        <v>19.9678</v>
      </c>
      <c r="D28" s="95">
        <v>2.8500000000000001E-2</v>
      </c>
      <c r="E28" s="94">
        <v>66.340100000000007</v>
      </c>
      <c r="F28" s="95">
        <v>9.4600000000000004E-2</v>
      </c>
      <c r="G28" s="94">
        <v>104.9669</v>
      </c>
      <c r="H28" s="95">
        <v>0.1497</v>
      </c>
      <c r="I28" s="94">
        <v>210.7192</v>
      </c>
      <c r="J28" s="95">
        <v>0.30049999999999999</v>
      </c>
      <c r="K28" s="94">
        <v>34.5854</v>
      </c>
      <c r="L28" s="95">
        <v>4.9299999999999997E-2</v>
      </c>
      <c r="M28" s="94">
        <v>23.078600000000002</v>
      </c>
      <c r="N28" s="95">
        <v>3.2899999999999999E-2</v>
      </c>
      <c r="O28" s="94">
        <v>22.767600000000002</v>
      </c>
      <c r="P28" s="95">
        <v>3.2500000000000001E-2</v>
      </c>
      <c r="Q28" s="94">
        <v>24.2407</v>
      </c>
      <c r="R28" s="95">
        <v>3.4599999999999999E-2</v>
      </c>
      <c r="S28" s="94">
        <v>30.0381</v>
      </c>
      <c r="T28" s="95">
        <v>4.2799999999999998E-2</v>
      </c>
      <c r="U28" s="94">
        <v>77.174599999999998</v>
      </c>
      <c r="V28" s="95">
        <v>0.1101</v>
      </c>
      <c r="W28" s="94">
        <v>68.437899999999999</v>
      </c>
      <c r="X28" s="95">
        <v>9.7600000000000006E-2</v>
      </c>
      <c r="Y28" s="94">
        <v>18.802600000000002</v>
      </c>
      <c r="Z28" s="95">
        <v>2.6800000000000001E-2</v>
      </c>
      <c r="AA28" s="96">
        <f t="shared" si="6"/>
        <v>701.11950000000013</v>
      </c>
      <c r="AB28" s="119">
        <v>1</v>
      </c>
      <c r="AC28" s="97">
        <f t="shared" si="7"/>
        <v>559.60020000000009</v>
      </c>
      <c r="AD28" s="98">
        <f t="shared" si="8"/>
        <v>0.79815238343820127</v>
      </c>
      <c r="AE28" s="99">
        <f t="shared" si="9"/>
        <v>141.51930000000002</v>
      </c>
      <c r="AF28" s="100">
        <f t="shared" si="10"/>
        <v>0.20184761656179864</v>
      </c>
      <c r="AG28" s="99">
        <f t="shared" si="11"/>
        <v>48.840699999999998</v>
      </c>
      <c r="AH28" s="101">
        <f t="shared" si="12"/>
        <v>6.9661020696186585E-2</v>
      </c>
      <c r="AI28" s="102">
        <v>3538</v>
      </c>
      <c r="AJ28" s="103">
        <v>890</v>
      </c>
      <c r="AK28" s="104">
        <v>1440090</v>
      </c>
      <c r="AL28" s="104">
        <v>86257.71</v>
      </c>
      <c r="AM28" s="105">
        <v>16.695203246179382</v>
      </c>
      <c r="AN28" s="6">
        <v>701.11937</v>
      </c>
      <c r="AO28" s="7">
        <v>116868.204</v>
      </c>
      <c r="AP28" s="7">
        <v>10356.6546</v>
      </c>
      <c r="AQ28" s="12">
        <f t="shared" si="13"/>
        <v>11.284358561112969</v>
      </c>
      <c r="AR28" s="57">
        <v>8033.8886199999997</v>
      </c>
      <c r="AS28" s="106">
        <f t="shared" si="14"/>
        <v>1.0000001854177842</v>
      </c>
      <c r="AT28" s="60">
        <v>1587.278</v>
      </c>
      <c r="AU28" s="107">
        <f t="shared" si="5"/>
        <v>1587278</v>
      </c>
      <c r="AV28" s="108">
        <f t="shared" si="15"/>
        <v>0.90727018203490506</v>
      </c>
      <c r="AW28" s="109">
        <f t="shared" si="16"/>
        <v>7.3628062633010721E-2</v>
      </c>
      <c r="AX28" s="109">
        <f t="shared" si="17"/>
        <v>1.9101755332084247E-2</v>
      </c>
      <c r="AY28" s="110">
        <f t="shared" si="18"/>
        <v>0.98089824466791575</v>
      </c>
      <c r="AZ28" s="111">
        <f t="shared" si="19"/>
        <v>1556958.2039999999</v>
      </c>
      <c r="BA28" s="112">
        <f t="shared" si="20"/>
        <v>0.92493812377252493</v>
      </c>
      <c r="BB28" s="113">
        <f t="shared" si="21"/>
        <v>7.5061876227475149E-2</v>
      </c>
      <c r="BC28" s="114">
        <v>214.79220000000001</v>
      </c>
      <c r="BD28" s="115">
        <v>377.07769999999999</v>
      </c>
      <c r="BE28" s="116">
        <f t="shared" si="22"/>
        <v>591.86990000000003</v>
      </c>
      <c r="BF28" s="115">
        <v>109.2495</v>
      </c>
      <c r="BG28" s="121">
        <f t="shared" si="28"/>
        <v>701.11940000000004</v>
      </c>
      <c r="BH28" s="122">
        <f t="shared" si="23"/>
        <v>0.30635609284238891</v>
      </c>
      <c r="BI28" s="117">
        <f t="shared" si="24"/>
        <v>0.53782237376401221</v>
      </c>
      <c r="BJ28" s="117">
        <f t="shared" si="25"/>
        <v>0.84417846660640117</v>
      </c>
      <c r="BK28" s="117">
        <f t="shared" si="26"/>
        <v>0.15582153339359886</v>
      </c>
      <c r="BL28" s="118">
        <f t="shared" si="27"/>
        <v>1</v>
      </c>
    </row>
    <row r="29" spans="1:64" x14ac:dyDescent="0.2">
      <c r="A29" s="64"/>
      <c r="B29" s="199" t="s">
        <v>82</v>
      </c>
      <c r="C29" s="190">
        <v>44.877499999999998</v>
      </c>
      <c r="D29" s="95">
        <v>8.7400000000000005E-2</v>
      </c>
      <c r="E29" s="94">
        <v>16.454899999999999</v>
      </c>
      <c r="F29" s="95">
        <v>3.2000000000000001E-2</v>
      </c>
      <c r="G29" s="94">
        <v>60.7806</v>
      </c>
      <c r="H29" s="95">
        <v>0.11840000000000001</v>
      </c>
      <c r="I29" s="94">
        <v>148.77420000000001</v>
      </c>
      <c r="J29" s="95">
        <v>0.2898</v>
      </c>
      <c r="K29" s="94">
        <v>8.2548999999999992</v>
      </c>
      <c r="L29" s="95">
        <v>1.61E-2</v>
      </c>
      <c r="M29" s="94">
        <v>3.8372000000000002</v>
      </c>
      <c r="N29" s="95">
        <v>7.4999999999999997E-3</v>
      </c>
      <c r="O29" s="94">
        <v>15.682499999999999</v>
      </c>
      <c r="P29" s="95">
        <v>3.0499999999999999E-2</v>
      </c>
      <c r="Q29" s="94">
        <v>56.842700000000001</v>
      </c>
      <c r="R29" s="95">
        <v>0.11070000000000001</v>
      </c>
      <c r="S29" s="94">
        <v>37.612699999999997</v>
      </c>
      <c r="T29" s="95">
        <v>7.3300000000000004E-2</v>
      </c>
      <c r="U29" s="94">
        <v>32.825699999999998</v>
      </c>
      <c r="V29" s="95">
        <v>6.3899999999999998E-2</v>
      </c>
      <c r="W29" s="94">
        <v>53.979100000000003</v>
      </c>
      <c r="X29" s="95">
        <v>0.1051</v>
      </c>
      <c r="Y29" s="94">
        <v>33.5199</v>
      </c>
      <c r="Z29" s="95">
        <v>6.5299999999999997E-2</v>
      </c>
      <c r="AA29" s="96">
        <f t="shared" si="6"/>
        <v>513.44190000000003</v>
      </c>
      <c r="AB29" s="119">
        <v>1</v>
      </c>
      <c r="AC29" s="97">
        <f t="shared" si="7"/>
        <v>331.48750000000001</v>
      </c>
      <c r="AD29" s="98">
        <f t="shared" si="8"/>
        <v>0.64561832604623814</v>
      </c>
      <c r="AE29" s="99">
        <f t="shared" si="9"/>
        <v>181.95440000000002</v>
      </c>
      <c r="AF29" s="100">
        <f t="shared" si="10"/>
        <v>0.35438167395376186</v>
      </c>
      <c r="AG29" s="99">
        <f t="shared" si="11"/>
        <v>71.132599999999996</v>
      </c>
      <c r="AH29" s="101">
        <f t="shared" si="12"/>
        <v>0.13854069954166184</v>
      </c>
      <c r="AI29" s="102">
        <v>2661</v>
      </c>
      <c r="AJ29" s="103">
        <v>577</v>
      </c>
      <c r="AK29" s="104">
        <v>870506</v>
      </c>
      <c r="AL29" s="104">
        <v>55662.070000000007</v>
      </c>
      <c r="AM29" s="105">
        <v>15.639123733630457</v>
      </c>
      <c r="AN29" s="6">
        <v>513.44183999999996</v>
      </c>
      <c r="AO29" s="7">
        <v>76625.439700000003</v>
      </c>
      <c r="AP29" s="7">
        <v>6989.1952300000003</v>
      </c>
      <c r="AQ29" s="12">
        <f t="shared" si="13"/>
        <v>10.963413837847536</v>
      </c>
      <c r="AR29" s="57">
        <v>4066.3339700000001</v>
      </c>
      <c r="AS29" s="106">
        <f t="shared" si="14"/>
        <v>1.0000001168584158</v>
      </c>
      <c r="AT29" s="60">
        <v>968.47199999999998</v>
      </c>
      <c r="AU29" s="107">
        <f t="shared" si="5"/>
        <v>968472</v>
      </c>
      <c r="AV29" s="108">
        <f t="shared" si="15"/>
        <v>0.89884477816601827</v>
      </c>
      <c r="AW29" s="109">
        <f t="shared" si="16"/>
        <v>7.911993294591893E-2</v>
      </c>
      <c r="AX29" s="109">
        <f t="shared" si="17"/>
        <v>2.2035288888062832E-2</v>
      </c>
      <c r="AY29" s="110">
        <f t="shared" si="18"/>
        <v>0.97796471111193717</v>
      </c>
      <c r="AZ29" s="111">
        <f t="shared" si="19"/>
        <v>947131.43969999999</v>
      </c>
      <c r="BA29" s="112">
        <f t="shared" si="20"/>
        <v>0.91909735387490588</v>
      </c>
      <c r="BB29" s="113">
        <f t="shared" si="21"/>
        <v>8.0902646125094096E-2</v>
      </c>
      <c r="BC29" s="114">
        <v>181.774</v>
      </c>
      <c r="BD29" s="115">
        <v>242.19149999999999</v>
      </c>
      <c r="BE29" s="116">
        <f t="shared" si="22"/>
        <v>423.96550000000002</v>
      </c>
      <c r="BF29" s="115">
        <v>89.476399999999998</v>
      </c>
      <c r="BG29" s="121">
        <f t="shared" si="28"/>
        <v>513.44190000000003</v>
      </c>
      <c r="BH29" s="122">
        <f t="shared" si="23"/>
        <v>0.35403031969147819</v>
      </c>
      <c r="BI29" s="117">
        <f t="shared" si="24"/>
        <v>0.47170186149591603</v>
      </c>
      <c r="BJ29" s="117">
        <f t="shared" si="25"/>
        <v>0.82573218118739433</v>
      </c>
      <c r="BK29" s="117">
        <f t="shared" si="26"/>
        <v>0.17426781881260567</v>
      </c>
      <c r="BL29" s="118">
        <f t="shared" si="27"/>
        <v>1</v>
      </c>
    </row>
    <row r="30" spans="1:64" x14ac:dyDescent="0.2">
      <c r="A30" s="64"/>
      <c r="B30" s="199" t="s">
        <v>83</v>
      </c>
      <c r="C30" s="190">
        <v>0</v>
      </c>
      <c r="D30" s="95">
        <v>0</v>
      </c>
      <c r="E30" s="94">
        <v>12.444599999999999</v>
      </c>
      <c r="F30" s="95">
        <v>4.8800000000000003E-2</v>
      </c>
      <c r="G30" s="94">
        <v>12.6767</v>
      </c>
      <c r="H30" s="95">
        <v>4.9799999999999997E-2</v>
      </c>
      <c r="I30" s="94">
        <v>21.888400000000001</v>
      </c>
      <c r="J30" s="95">
        <v>8.5900000000000004E-2</v>
      </c>
      <c r="K30" s="94">
        <v>10.955399999999999</v>
      </c>
      <c r="L30" s="95">
        <v>4.2999999999999997E-2</v>
      </c>
      <c r="M30" s="94">
        <v>5.0635000000000003</v>
      </c>
      <c r="N30" s="95">
        <v>1.9900000000000001E-2</v>
      </c>
      <c r="O30" s="94">
        <v>0</v>
      </c>
      <c r="P30" s="95">
        <v>0</v>
      </c>
      <c r="Q30" s="94">
        <v>13.940799999999999</v>
      </c>
      <c r="R30" s="95">
        <v>5.4699999999999999E-2</v>
      </c>
      <c r="S30" s="94">
        <v>99.426699999999997</v>
      </c>
      <c r="T30" s="95">
        <v>0.39019999999999999</v>
      </c>
      <c r="U30" s="94">
        <v>43.898499999999999</v>
      </c>
      <c r="V30" s="95">
        <v>0.17230000000000001</v>
      </c>
      <c r="W30" s="94">
        <v>21.2166</v>
      </c>
      <c r="X30" s="95">
        <v>8.3299999999999999E-2</v>
      </c>
      <c r="Y30" s="94">
        <v>13.2705</v>
      </c>
      <c r="Z30" s="95">
        <v>5.21E-2</v>
      </c>
      <c r="AA30" s="96">
        <f t="shared" si="6"/>
        <v>254.7817</v>
      </c>
      <c r="AB30" s="119">
        <v>1</v>
      </c>
      <c r="AC30" s="97">
        <f t="shared" si="7"/>
        <v>106.9271</v>
      </c>
      <c r="AD30" s="98">
        <f t="shared" si="8"/>
        <v>0.41968124084265079</v>
      </c>
      <c r="AE30" s="99">
        <f t="shared" si="9"/>
        <v>147.85459999999998</v>
      </c>
      <c r="AF30" s="100">
        <f t="shared" si="10"/>
        <v>0.5803187591573491</v>
      </c>
      <c r="AG30" s="99">
        <f t="shared" si="11"/>
        <v>112.6972</v>
      </c>
      <c r="AH30" s="101">
        <f t="shared" si="12"/>
        <v>0.44232847178584644</v>
      </c>
      <c r="AI30" s="102">
        <v>1040</v>
      </c>
      <c r="AJ30" s="103">
        <v>152</v>
      </c>
      <c r="AK30" s="104">
        <v>442000</v>
      </c>
      <c r="AL30" s="104">
        <v>31685.93</v>
      </c>
      <c r="AM30" s="105">
        <v>13.949409091038198</v>
      </c>
      <c r="AN30" s="6">
        <v>254.78188</v>
      </c>
      <c r="AO30" s="7">
        <v>43337.8606</v>
      </c>
      <c r="AP30" s="7">
        <v>4096.6409700000004</v>
      </c>
      <c r="AQ30" s="12">
        <f t="shared" si="13"/>
        <v>10.57887691827678</v>
      </c>
      <c r="AR30" s="57">
        <v>3419.3462100000002</v>
      </c>
      <c r="AS30" s="106">
        <f t="shared" si="14"/>
        <v>0.99999929351333772</v>
      </c>
      <c r="AT30" s="60">
        <v>508.77100000000002</v>
      </c>
      <c r="AU30" s="107">
        <f t="shared" si="5"/>
        <v>508771</v>
      </c>
      <c r="AV30" s="108">
        <f t="shared" si="15"/>
        <v>0.86876020842382917</v>
      </c>
      <c r="AW30" s="109">
        <f t="shared" si="16"/>
        <v>8.5181467890268897E-2</v>
      </c>
      <c r="AX30" s="109">
        <f t="shared" si="17"/>
        <v>4.6058323685901903E-2</v>
      </c>
      <c r="AY30" s="110">
        <f t="shared" si="18"/>
        <v>0.9539416763140981</v>
      </c>
      <c r="AZ30" s="111">
        <f t="shared" si="19"/>
        <v>485337.86060000001</v>
      </c>
      <c r="BA30" s="112">
        <f t="shared" si="20"/>
        <v>0.91070579050555944</v>
      </c>
      <c r="BB30" s="113">
        <f t="shared" si="21"/>
        <v>8.9294209494440585E-2</v>
      </c>
      <c r="BC30" s="114">
        <v>29.8368</v>
      </c>
      <c r="BD30" s="115">
        <v>193.75970000000001</v>
      </c>
      <c r="BE30" s="116">
        <f t="shared" si="22"/>
        <v>223.59650000000002</v>
      </c>
      <c r="BF30" s="115">
        <v>31.185300000000002</v>
      </c>
      <c r="BG30" s="121">
        <f t="shared" si="28"/>
        <v>254.78180000000003</v>
      </c>
      <c r="BH30" s="122">
        <f t="shared" si="23"/>
        <v>0.11710726590360848</v>
      </c>
      <c r="BI30" s="117">
        <f t="shared" si="24"/>
        <v>0.7604927039529511</v>
      </c>
      <c r="BJ30" s="117">
        <f t="shared" si="25"/>
        <v>0.87759996985655953</v>
      </c>
      <c r="BK30" s="117">
        <f t="shared" si="26"/>
        <v>0.12240003014344038</v>
      </c>
      <c r="BL30" s="118">
        <f t="shared" si="27"/>
        <v>1</v>
      </c>
    </row>
    <row r="31" spans="1:64" x14ac:dyDescent="0.2">
      <c r="A31" s="64"/>
      <c r="B31" s="199" t="s">
        <v>84</v>
      </c>
      <c r="C31" s="190">
        <v>82.037499999999994</v>
      </c>
      <c r="D31" s="95">
        <v>0.13039999999999999</v>
      </c>
      <c r="E31" s="94">
        <v>39.192100000000003</v>
      </c>
      <c r="F31" s="95">
        <v>6.2300000000000001E-2</v>
      </c>
      <c r="G31" s="94">
        <v>37.720300000000002</v>
      </c>
      <c r="H31" s="95">
        <v>0.06</v>
      </c>
      <c r="I31" s="94">
        <v>202.19649999999999</v>
      </c>
      <c r="J31" s="95">
        <v>0.32140000000000002</v>
      </c>
      <c r="K31" s="94">
        <v>0</v>
      </c>
      <c r="L31" s="95">
        <v>0</v>
      </c>
      <c r="M31" s="94">
        <v>5.9927000000000001</v>
      </c>
      <c r="N31" s="95">
        <v>9.4999999999999998E-3</v>
      </c>
      <c r="O31" s="94">
        <v>9.0761000000000003</v>
      </c>
      <c r="P31" s="95">
        <v>1.44E-2</v>
      </c>
      <c r="Q31" s="94">
        <v>39.060099999999998</v>
      </c>
      <c r="R31" s="95">
        <v>6.2100000000000002E-2</v>
      </c>
      <c r="S31" s="94">
        <v>30.131399999999999</v>
      </c>
      <c r="T31" s="95">
        <v>4.7899999999999998E-2</v>
      </c>
      <c r="U31" s="94">
        <v>55.500500000000002</v>
      </c>
      <c r="V31" s="95">
        <v>8.8200000000000001E-2</v>
      </c>
      <c r="W31" s="94">
        <v>86.388800000000003</v>
      </c>
      <c r="X31" s="95">
        <v>0.13730000000000001</v>
      </c>
      <c r="Y31" s="94">
        <v>41.891100000000002</v>
      </c>
      <c r="Z31" s="95">
        <v>6.6600000000000006E-2</v>
      </c>
      <c r="AA31" s="96">
        <f t="shared" si="6"/>
        <v>629.18709999999999</v>
      </c>
      <c r="AB31" s="119">
        <v>1</v>
      </c>
      <c r="AC31" s="97">
        <f t="shared" si="7"/>
        <v>431.71569999999997</v>
      </c>
      <c r="AD31" s="98">
        <f t="shared" si="8"/>
        <v>0.68614836508885824</v>
      </c>
      <c r="AE31" s="99">
        <f t="shared" si="9"/>
        <v>197.47139999999999</v>
      </c>
      <c r="AF31" s="100">
        <f t="shared" si="10"/>
        <v>0.31385163491114171</v>
      </c>
      <c r="AG31" s="99">
        <f t="shared" si="11"/>
        <v>72.022500000000008</v>
      </c>
      <c r="AH31" s="101">
        <f t="shared" si="12"/>
        <v>0.11446913008864933</v>
      </c>
      <c r="AI31" s="102">
        <v>2453</v>
      </c>
      <c r="AJ31" s="103">
        <v>565</v>
      </c>
      <c r="AK31" s="104">
        <v>888823</v>
      </c>
      <c r="AL31" s="104">
        <v>69568.94</v>
      </c>
      <c r="AM31" s="105">
        <v>12.776146941436796</v>
      </c>
      <c r="AN31" s="6">
        <v>629.18705999999997</v>
      </c>
      <c r="AO31" s="7">
        <v>95828.128100000002</v>
      </c>
      <c r="AP31" s="7">
        <v>9426.1340799999998</v>
      </c>
      <c r="AQ31" s="12">
        <f t="shared" si="13"/>
        <v>10.166217378906625</v>
      </c>
      <c r="AR31" s="57">
        <v>6705.4976999999999</v>
      </c>
      <c r="AS31" s="106">
        <f t="shared" si="14"/>
        <v>1.0000000635740982</v>
      </c>
      <c r="AT31" s="60">
        <v>1013.0170000000001</v>
      </c>
      <c r="AU31" s="107">
        <f t="shared" si="5"/>
        <v>1013017</v>
      </c>
      <c r="AV31" s="108">
        <f t="shared" si="15"/>
        <v>0.87740185998852926</v>
      </c>
      <c r="AW31" s="109">
        <f t="shared" si="16"/>
        <v>9.4596762048415772E-2</v>
      </c>
      <c r="AX31" s="109">
        <f t="shared" si="17"/>
        <v>2.8001377963055019E-2</v>
      </c>
      <c r="AY31" s="110">
        <f t="shared" si="18"/>
        <v>0.97199862203694498</v>
      </c>
      <c r="AZ31" s="111">
        <f t="shared" si="19"/>
        <v>984651.12809999997</v>
      </c>
      <c r="BA31" s="112">
        <f t="shared" si="20"/>
        <v>0.90267809037611968</v>
      </c>
      <c r="BB31" s="113">
        <f t="shared" si="21"/>
        <v>9.7321909623880321E-2</v>
      </c>
      <c r="BC31" s="114">
        <v>230.9623</v>
      </c>
      <c r="BD31" s="115">
        <v>282.29410000000001</v>
      </c>
      <c r="BE31" s="116">
        <f t="shared" si="22"/>
        <v>513.25639999999999</v>
      </c>
      <c r="BF31" s="115">
        <v>115.9306</v>
      </c>
      <c r="BG31" s="121">
        <f t="shared" si="28"/>
        <v>629.18700000000001</v>
      </c>
      <c r="BH31" s="122">
        <f t="shared" si="23"/>
        <v>0.36708053408605074</v>
      </c>
      <c r="BI31" s="117">
        <f t="shared" si="24"/>
        <v>0.4486648643408081</v>
      </c>
      <c r="BJ31" s="117">
        <f t="shared" si="25"/>
        <v>0.81574539842685878</v>
      </c>
      <c r="BK31" s="117">
        <f t="shared" si="26"/>
        <v>0.18425460157314122</v>
      </c>
      <c r="BL31" s="118">
        <f t="shared" si="27"/>
        <v>1</v>
      </c>
    </row>
    <row r="32" spans="1:64" x14ac:dyDescent="0.2">
      <c r="A32" s="64"/>
      <c r="B32" s="199" t="s">
        <v>85</v>
      </c>
      <c r="C32" s="190">
        <v>0</v>
      </c>
      <c r="D32" s="95">
        <v>0</v>
      </c>
      <c r="E32" s="94">
        <v>12.375299999999999</v>
      </c>
      <c r="F32" s="95">
        <v>9.2200000000000004E-2</v>
      </c>
      <c r="G32" s="94">
        <v>15.018599999999999</v>
      </c>
      <c r="H32" s="95">
        <v>0.1119</v>
      </c>
      <c r="I32" s="94">
        <v>0</v>
      </c>
      <c r="J32" s="95">
        <v>0</v>
      </c>
      <c r="K32" s="94">
        <v>0</v>
      </c>
      <c r="L32" s="95">
        <v>0</v>
      </c>
      <c r="M32" s="94">
        <v>2.4417</v>
      </c>
      <c r="N32" s="95">
        <v>1.8200000000000001E-2</v>
      </c>
      <c r="O32" s="94">
        <v>0</v>
      </c>
      <c r="P32" s="95">
        <v>0</v>
      </c>
      <c r="Q32" s="94">
        <v>0</v>
      </c>
      <c r="R32" s="95">
        <v>0</v>
      </c>
      <c r="S32" s="94">
        <v>40.207900000000002</v>
      </c>
      <c r="T32" s="95">
        <v>0.29949999999999999</v>
      </c>
      <c r="U32" s="94">
        <v>21.0167</v>
      </c>
      <c r="V32" s="95">
        <v>0.15659999999999999</v>
      </c>
      <c r="W32" s="94">
        <v>15.353899999999999</v>
      </c>
      <c r="X32" s="95">
        <v>0.1144</v>
      </c>
      <c r="Y32" s="94">
        <v>27.8276</v>
      </c>
      <c r="Z32" s="95">
        <v>0.20730000000000001</v>
      </c>
      <c r="AA32" s="96">
        <f t="shared" si="6"/>
        <v>134.24169999999998</v>
      </c>
      <c r="AB32" s="119">
        <v>1</v>
      </c>
      <c r="AC32" s="97">
        <f t="shared" si="7"/>
        <v>50.8523</v>
      </c>
      <c r="AD32" s="98">
        <f t="shared" si="8"/>
        <v>0.37881150194015722</v>
      </c>
      <c r="AE32" s="99">
        <f t="shared" si="9"/>
        <v>83.389400000000009</v>
      </c>
      <c r="AF32" s="100">
        <f t="shared" si="10"/>
        <v>0.621188498059843</v>
      </c>
      <c r="AG32" s="99">
        <f t="shared" si="11"/>
        <v>68.035499999999999</v>
      </c>
      <c r="AH32" s="101">
        <f t="shared" si="12"/>
        <v>0.50681345662338906</v>
      </c>
      <c r="AI32" s="120">
        <v>827</v>
      </c>
      <c r="AJ32" s="103">
        <v>482</v>
      </c>
      <c r="AK32" s="104">
        <v>150195</v>
      </c>
      <c r="AL32" s="104">
        <v>11041.84</v>
      </c>
      <c r="AM32" s="105">
        <v>13.602352506466314</v>
      </c>
      <c r="AN32" s="6">
        <v>134.24161000000001</v>
      </c>
      <c r="AO32" s="7">
        <v>10144.644399999999</v>
      </c>
      <c r="AP32" s="7">
        <v>995.14221999999995</v>
      </c>
      <c r="AQ32" s="12">
        <f t="shared" si="13"/>
        <v>10.194165412859279</v>
      </c>
      <c r="AR32" s="57">
        <v>423.71848</v>
      </c>
      <c r="AS32" s="106">
        <f t="shared" si="14"/>
        <v>1.0000006704329603</v>
      </c>
      <c r="AT32" s="60">
        <v>174.49799999999999</v>
      </c>
      <c r="AU32" s="107">
        <f t="shared" si="5"/>
        <v>174498</v>
      </c>
      <c r="AV32" s="108">
        <f t="shared" si="15"/>
        <v>0.86072619743492762</v>
      </c>
      <c r="AW32" s="109">
        <f t="shared" si="16"/>
        <v>5.8136164311338806E-2</v>
      </c>
      <c r="AX32" s="109">
        <f t="shared" si="17"/>
        <v>8.1137638253733546E-2</v>
      </c>
      <c r="AY32" s="110">
        <f t="shared" si="18"/>
        <v>0.91886236174626645</v>
      </c>
      <c r="AZ32" s="111">
        <f t="shared" si="19"/>
        <v>160339.64439999999</v>
      </c>
      <c r="BA32" s="112">
        <f t="shared" si="20"/>
        <v>0.93673028003796677</v>
      </c>
      <c r="BB32" s="113">
        <f t="shared" si="21"/>
        <v>6.3269719962033288E-2</v>
      </c>
      <c r="BC32" s="114">
        <v>22.828299999999999</v>
      </c>
      <c r="BD32" s="115">
        <v>60.337800000000001</v>
      </c>
      <c r="BE32" s="116">
        <f t="shared" si="22"/>
        <v>83.1661</v>
      </c>
      <c r="BF32" s="115">
        <v>51.075600000000001</v>
      </c>
      <c r="BG32" s="121">
        <f t="shared" si="28"/>
        <v>134.24170000000001</v>
      </c>
      <c r="BH32" s="122">
        <f t="shared" si="23"/>
        <v>0.17005371654262422</v>
      </c>
      <c r="BI32" s="117">
        <f t="shared" si="24"/>
        <v>0.44947136396514642</v>
      </c>
      <c r="BJ32" s="117">
        <f t="shared" si="25"/>
        <v>0.61952508050777066</v>
      </c>
      <c r="BK32" s="117">
        <f t="shared" si="26"/>
        <v>0.38047491949222928</v>
      </c>
      <c r="BL32" s="118">
        <f t="shared" si="27"/>
        <v>1</v>
      </c>
    </row>
    <row r="33" spans="1:64" x14ac:dyDescent="0.2">
      <c r="A33" s="64"/>
      <c r="B33" s="199" t="s">
        <v>86</v>
      </c>
      <c r="C33" s="190">
        <v>74.070499999999996</v>
      </c>
      <c r="D33" s="95">
        <v>0.35759999999999997</v>
      </c>
      <c r="E33" s="94">
        <v>0</v>
      </c>
      <c r="F33" s="95">
        <v>0</v>
      </c>
      <c r="G33" s="94">
        <v>3.3919999999999999</v>
      </c>
      <c r="H33" s="95">
        <v>1.6400000000000001E-2</v>
      </c>
      <c r="I33" s="94">
        <v>12.761100000000001</v>
      </c>
      <c r="J33" s="95">
        <v>6.1600000000000002E-2</v>
      </c>
      <c r="K33" s="94">
        <v>1.0593999999999999</v>
      </c>
      <c r="L33" s="95">
        <v>5.1000000000000004E-3</v>
      </c>
      <c r="M33" s="94">
        <v>0</v>
      </c>
      <c r="N33" s="95">
        <v>0</v>
      </c>
      <c r="O33" s="94">
        <v>2.2734999999999999</v>
      </c>
      <c r="P33" s="95">
        <v>1.0999999999999999E-2</v>
      </c>
      <c r="Q33" s="94">
        <v>16.555800000000001</v>
      </c>
      <c r="R33" s="95">
        <v>7.9899999999999999E-2</v>
      </c>
      <c r="S33" s="94">
        <v>37.729100000000003</v>
      </c>
      <c r="T33" s="95">
        <v>0.18210000000000001</v>
      </c>
      <c r="U33" s="94">
        <v>16.733499999999999</v>
      </c>
      <c r="V33" s="95">
        <v>8.0799999999999997E-2</v>
      </c>
      <c r="W33" s="94">
        <v>15.190099999999999</v>
      </c>
      <c r="X33" s="95">
        <v>7.3300000000000004E-2</v>
      </c>
      <c r="Y33" s="94">
        <v>27.367000000000001</v>
      </c>
      <c r="Z33" s="95">
        <v>0.1321</v>
      </c>
      <c r="AA33" s="96">
        <f t="shared" si="6"/>
        <v>207.13199999999998</v>
      </c>
      <c r="AB33" s="119">
        <v>1</v>
      </c>
      <c r="AC33" s="97">
        <f t="shared" si="7"/>
        <v>110.28999999999999</v>
      </c>
      <c r="AD33" s="98">
        <f t="shared" si="8"/>
        <v>0.53246239113222493</v>
      </c>
      <c r="AE33" s="99">
        <f t="shared" si="9"/>
        <v>96.842000000000013</v>
      </c>
      <c r="AF33" s="100">
        <f t="shared" si="10"/>
        <v>0.46753760886777523</v>
      </c>
      <c r="AG33" s="99">
        <f t="shared" si="11"/>
        <v>65.096100000000007</v>
      </c>
      <c r="AH33" s="101">
        <f t="shared" si="12"/>
        <v>0.31427350674931936</v>
      </c>
      <c r="AI33" s="102">
        <v>1083</v>
      </c>
      <c r="AJ33" s="103">
        <v>278</v>
      </c>
      <c r="AK33" s="104">
        <v>327564</v>
      </c>
      <c r="AL33" s="104">
        <v>24229.690000000002</v>
      </c>
      <c r="AM33" s="105">
        <v>13.519116422867976</v>
      </c>
      <c r="AN33" s="6">
        <v>207.13208</v>
      </c>
      <c r="AO33" s="7">
        <v>36820.077499999999</v>
      </c>
      <c r="AP33" s="7">
        <v>3091.1701800000001</v>
      </c>
      <c r="AQ33" s="12">
        <f t="shared" si="13"/>
        <v>11.911371861124772</v>
      </c>
      <c r="AR33" s="57">
        <v>2344.77403</v>
      </c>
      <c r="AS33" s="106">
        <f t="shared" si="14"/>
        <v>0.99999961377300883</v>
      </c>
      <c r="AT33" s="60">
        <v>353.476</v>
      </c>
      <c r="AU33" s="107">
        <f t="shared" si="5"/>
        <v>353476</v>
      </c>
      <c r="AV33" s="108">
        <f t="shared" si="15"/>
        <v>0.92669375007072619</v>
      </c>
      <c r="AW33" s="109">
        <f t="shared" si="16"/>
        <v>0.1041657071484344</v>
      </c>
      <c r="AX33" s="109">
        <f t="shared" si="17"/>
        <v>-3.0859457219160502E-2</v>
      </c>
      <c r="AY33" s="110">
        <f t="shared" si="18"/>
        <v>1.0308594572191605</v>
      </c>
      <c r="AZ33" s="111">
        <f t="shared" si="19"/>
        <v>364384.07750000001</v>
      </c>
      <c r="BA33" s="112">
        <f t="shared" si="20"/>
        <v>0.89895256194337958</v>
      </c>
      <c r="BB33" s="113">
        <f t="shared" si="21"/>
        <v>0.10104743805662035</v>
      </c>
      <c r="BC33" s="114">
        <v>108.6918</v>
      </c>
      <c r="BD33" s="115">
        <v>77.880099999999999</v>
      </c>
      <c r="BE33" s="116">
        <f t="shared" si="22"/>
        <v>186.5719</v>
      </c>
      <c r="BF33" s="115">
        <v>20.560099999999998</v>
      </c>
      <c r="BG33" s="121">
        <f t="shared" si="28"/>
        <v>207.13200000000001</v>
      </c>
      <c r="BH33" s="122">
        <f t="shared" si="23"/>
        <v>0.52474653843925612</v>
      </c>
      <c r="BI33" s="117">
        <f t="shared" si="24"/>
        <v>0.3759926037502655</v>
      </c>
      <c r="BJ33" s="117">
        <f t="shared" si="25"/>
        <v>0.90073914218952167</v>
      </c>
      <c r="BK33" s="117">
        <f t="shared" si="26"/>
        <v>9.9260857810478331E-2</v>
      </c>
      <c r="BL33" s="118">
        <f t="shared" si="27"/>
        <v>1</v>
      </c>
    </row>
    <row r="34" spans="1:64" x14ac:dyDescent="0.2">
      <c r="A34" s="64"/>
      <c r="B34" s="199" t="s">
        <v>87</v>
      </c>
      <c r="C34" s="190">
        <v>66.363399999999999</v>
      </c>
      <c r="D34" s="95">
        <v>0.49759999999999999</v>
      </c>
      <c r="E34" s="94">
        <v>9.1379000000000001</v>
      </c>
      <c r="F34" s="95">
        <v>6.8500000000000005E-2</v>
      </c>
      <c r="G34" s="94">
        <v>2.2263999999999999</v>
      </c>
      <c r="H34" s="95">
        <v>1.67E-2</v>
      </c>
      <c r="I34" s="94">
        <v>36.845199999999998</v>
      </c>
      <c r="J34" s="95">
        <v>0.27629999999999999</v>
      </c>
      <c r="K34" s="94">
        <v>0</v>
      </c>
      <c r="L34" s="95">
        <v>0</v>
      </c>
      <c r="M34" s="94">
        <v>0</v>
      </c>
      <c r="N34" s="95">
        <v>0</v>
      </c>
      <c r="O34" s="94">
        <v>1.4286000000000001</v>
      </c>
      <c r="P34" s="95">
        <v>1.0699999999999999E-2</v>
      </c>
      <c r="Q34" s="94">
        <v>6.3151000000000002</v>
      </c>
      <c r="R34" s="95">
        <v>4.7399999999999998E-2</v>
      </c>
      <c r="S34" s="94">
        <v>2.5074999999999998</v>
      </c>
      <c r="T34" s="95">
        <v>1.8800000000000001E-2</v>
      </c>
      <c r="U34" s="94">
        <v>8.5380000000000003</v>
      </c>
      <c r="V34" s="95">
        <v>6.4000000000000001E-2</v>
      </c>
      <c r="W34" s="94">
        <v>0</v>
      </c>
      <c r="X34" s="95">
        <v>0</v>
      </c>
      <c r="Y34" s="94">
        <v>0</v>
      </c>
      <c r="Z34" s="95">
        <v>0</v>
      </c>
      <c r="AA34" s="96">
        <f t="shared" si="6"/>
        <v>133.3621</v>
      </c>
      <c r="AB34" s="119">
        <v>1</v>
      </c>
      <c r="AC34" s="97">
        <f t="shared" si="7"/>
        <v>124.5395</v>
      </c>
      <c r="AD34" s="98">
        <f t="shared" si="8"/>
        <v>0.93384477299022739</v>
      </c>
      <c r="AE34" s="99">
        <f t="shared" si="9"/>
        <v>8.8225999999999996</v>
      </c>
      <c r="AF34" s="100">
        <f t="shared" si="10"/>
        <v>6.6155227009772638E-2</v>
      </c>
      <c r="AG34" s="99">
        <f t="shared" si="11"/>
        <v>2.5074999999999998</v>
      </c>
      <c r="AH34" s="101">
        <f t="shared" si="12"/>
        <v>1.8802193426768175E-2</v>
      </c>
      <c r="AI34" s="120">
        <v>746</v>
      </c>
      <c r="AJ34" s="103">
        <v>20</v>
      </c>
      <c r="AK34" s="104">
        <v>486648</v>
      </c>
      <c r="AL34" s="104" t="s">
        <v>88</v>
      </c>
      <c r="AM34" s="123" t="s">
        <v>88</v>
      </c>
      <c r="AN34" s="6">
        <v>133.36206000000001</v>
      </c>
      <c r="AO34" s="7">
        <v>24395.748599999999</v>
      </c>
      <c r="AP34" s="7">
        <v>1885.25442</v>
      </c>
      <c r="AQ34" s="12">
        <f t="shared" si="13"/>
        <v>12.940295135337754</v>
      </c>
      <c r="AR34" s="57">
        <v>1356.3568700000001</v>
      </c>
      <c r="AS34" s="106">
        <f t="shared" si="14"/>
        <v>1.0000002999353788</v>
      </c>
      <c r="AT34" s="60">
        <v>514.88300000000004</v>
      </c>
      <c r="AU34" s="107">
        <f t="shared" si="5"/>
        <v>514883.00000000006</v>
      </c>
      <c r="AV34" s="108">
        <f t="shared" si="15"/>
        <v>0.94516229900773563</v>
      </c>
      <c r="AW34" s="109">
        <f t="shared" si="16"/>
        <v>4.7381149892305623E-2</v>
      </c>
      <c r="AX34" s="109">
        <f t="shared" si="17"/>
        <v>7.4565510999587969E-3</v>
      </c>
      <c r="AY34" s="110">
        <f t="shared" si="18"/>
        <v>0.9925434489000412</v>
      </c>
      <c r="AZ34" s="111">
        <f t="shared" si="19"/>
        <v>511043.74859999999</v>
      </c>
      <c r="BA34" s="112">
        <f t="shared" si="20"/>
        <v>0.95226289595199642</v>
      </c>
      <c r="BB34" s="113">
        <f t="shared" si="21"/>
        <v>4.773710404800361E-2</v>
      </c>
      <c r="BC34" s="114">
        <v>18.1938</v>
      </c>
      <c r="BD34" s="115">
        <v>73.094399999999993</v>
      </c>
      <c r="BE34" s="116">
        <f t="shared" si="22"/>
        <v>91.288199999999989</v>
      </c>
      <c r="BF34" s="115">
        <v>42.073799999999999</v>
      </c>
      <c r="BG34" s="121">
        <f t="shared" si="28"/>
        <v>133.36199999999999</v>
      </c>
      <c r="BH34" s="122">
        <f t="shared" si="23"/>
        <v>0.1364241688037072</v>
      </c>
      <c r="BI34" s="117">
        <f t="shared" si="24"/>
        <v>0.54809016061546767</v>
      </c>
      <c r="BJ34" s="117">
        <f t="shared" si="25"/>
        <v>0.68451432941917478</v>
      </c>
      <c r="BK34" s="117">
        <f t="shared" si="26"/>
        <v>0.31548567058082511</v>
      </c>
      <c r="BL34" s="118">
        <f t="shared" si="27"/>
        <v>1</v>
      </c>
    </row>
    <row r="35" spans="1:64" x14ac:dyDescent="0.2">
      <c r="A35" s="64"/>
      <c r="B35" s="199" t="s">
        <v>89</v>
      </c>
      <c r="C35" s="190">
        <v>0</v>
      </c>
      <c r="D35" s="95">
        <v>0</v>
      </c>
      <c r="E35" s="94">
        <v>22.569600000000001</v>
      </c>
      <c r="F35" s="95">
        <v>0.1195</v>
      </c>
      <c r="G35" s="94">
        <v>8.7181999999999995</v>
      </c>
      <c r="H35" s="95">
        <v>4.6199999999999998E-2</v>
      </c>
      <c r="I35" s="94">
        <v>10.572800000000001</v>
      </c>
      <c r="J35" s="95">
        <v>5.6000000000000001E-2</v>
      </c>
      <c r="K35" s="94">
        <v>26.605</v>
      </c>
      <c r="L35" s="95">
        <v>0.1409</v>
      </c>
      <c r="M35" s="94">
        <v>21.214700000000001</v>
      </c>
      <c r="N35" s="95">
        <v>0.1123</v>
      </c>
      <c r="O35" s="94">
        <v>8.0978999999999992</v>
      </c>
      <c r="P35" s="95">
        <v>4.2900000000000001E-2</v>
      </c>
      <c r="Q35" s="94">
        <v>8.6037999999999997</v>
      </c>
      <c r="R35" s="95">
        <v>4.5600000000000002E-2</v>
      </c>
      <c r="S35" s="94">
        <v>7.2267999999999999</v>
      </c>
      <c r="T35" s="95">
        <v>3.8300000000000001E-2</v>
      </c>
      <c r="U35" s="94">
        <v>45.2087</v>
      </c>
      <c r="V35" s="95">
        <v>0.2394</v>
      </c>
      <c r="W35" s="94">
        <v>24.892399999999999</v>
      </c>
      <c r="X35" s="95">
        <v>0.1318</v>
      </c>
      <c r="Y35" s="94">
        <v>5.1390000000000002</v>
      </c>
      <c r="Z35" s="95">
        <v>2.7199999999999998E-2</v>
      </c>
      <c r="AA35" s="96">
        <f t="shared" si="6"/>
        <v>188.84890000000001</v>
      </c>
      <c r="AB35" s="119">
        <v>1</v>
      </c>
      <c r="AC35" s="97">
        <f t="shared" si="7"/>
        <v>142.98690000000002</v>
      </c>
      <c r="AD35" s="98">
        <f t="shared" si="8"/>
        <v>0.75714976364702158</v>
      </c>
      <c r="AE35" s="99">
        <f t="shared" si="9"/>
        <v>45.862000000000002</v>
      </c>
      <c r="AF35" s="100">
        <f t="shared" si="10"/>
        <v>0.24285023635297848</v>
      </c>
      <c r="AG35" s="99">
        <f t="shared" si="11"/>
        <v>12.3658</v>
      </c>
      <c r="AH35" s="101">
        <f t="shared" si="12"/>
        <v>6.5479862472060987E-2</v>
      </c>
      <c r="AI35" s="120">
        <v>494</v>
      </c>
      <c r="AJ35" s="103">
        <v>312</v>
      </c>
      <c r="AK35" s="104">
        <v>170005</v>
      </c>
      <c r="AL35" s="104">
        <v>14626.2</v>
      </c>
      <c r="AM35" s="105">
        <v>11.623319795982551</v>
      </c>
      <c r="AN35" s="6">
        <v>188.84891999999999</v>
      </c>
      <c r="AO35" s="7">
        <v>20884.364000000001</v>
      </c>
      <c r="AP35" s="7">
        <v>2495.5427800000002</v>
      </c>
      <c r="AQ35" s="12">
        <f t="shared" si="13"/>
        <v>8.3686659941770269</v>
      </c>
      <c r="AR35" s="57">
        <v>2921.5875799999999</v>
      </c>
      <c r="AS35" s="106">
        <f t="shared" si="14"/>
        <v>0.99999989409523771</v>
      </c>
      <c r="AT35" s="60">
        <v>192.09399999999999</v>
      </c>
      <c r="AU35" s="107">
        <f t="shared" si="5"/>
        <v>192094</v>
      </c>
      <c r="AV35" s="108">
        <f t="shared" si="15"/>
        <v>0.88500942247024894</v>
      </c>
      <c r="AW35" s="109">
        <f t="shared" si="16"/>
        <v>0.10871950191052299</v>
      </c>
      <c r="AX35" s="109">
        <f t="shared" si="17"/>
        <v>6.2710756192281281E-3</v>
      </c>
      <c r="AY35" s="110">
        <f t="shared" si="18"/>
        <v>0.99372892438077187</v>
      </c>
      <c r="AZ35" s="111">
        <f t="shared" si="19"/>
        <v>190889.364</v>
      </c>
      <c r="BA35" s="112">
        <f t="shared" si="20"/>
        <v>0.89059440734476958</v>
      </c>
      <c r="BB35" s="113">
        <f t="shared" si="21"/>
        <v>0.10940559265523039</v>
      </c>
      <c r="BC35" s="114">
        <v>28.6572</v>
      </c>
      <c r="BD35" s="115">
        <v>39.431899999999999</v>
      </c>
      <c r="BE35" s="116">
        <f t="shared" si="22"/>
        <v>68.089100000000002</v>
      </c>
      <c r="BF35" s="115">
        <v>120.7599</v>
      </c>
      <c r="BG35" s="121">
        <f t="shared" si="28"/>
        <v>188.84899999999999</v>
      </c>
      <c r="BH35" s="122">
        <f t="shared" si="23"/>
        <v>0.15174663355379167</v>
      </c>
      <c r="BI35" s="117">
        <f t="shared" si="24"/>
        <v>0.2088012115499685</v>
      </c>
      <c r="BJ35" s="117">
        <f t="shared" si="25"/>
        <v>0.3605478451037602</v>
      </c>
      <c r="BK35" s="117">
        <f t="shared" si="26"/>
        <v>0.63945215489623985</v>
      </c>
      <c r="BL35" s="118">
        <f t="shared" si="27"/>
        <v>1</v>
      </c>
    </row>
    <row r="36" spans="1:64" x14ac:dyDescent="0.2">
      <c r="A36" s="64"/>
      <c r="B36" s="199" t="s">
        <v>90</v>
      </c>
      <c r="C36" s="190">
        <v>35.115200000000002</v>
      </c>
      <c r="D36" s="95">
        <v>3.3399999999999999E-2</v>
      </c>
      <c r="E36" s="94">
        <v>0</v>
      </c>
      <c r="F36" s="95">
        <v>0</v>
      </c>
      <c r="G36" s="94">
        <v>47.783999999999999</v>
      </c>
      <c r="H36" s="95">
        <v>4.5400000000000003E-2</v>
      </c>
      <c r="I36" s="94">
        <v>859.69269999999995</v>
      </c>
      <c r="J36" s="95">
        <v>0.81730000000000003</v>
      </c>
      <c r="K36" s="94">
        <v>14.381500000000001</v>
      </c>
      <c r="L36" s="95">
        <v>1.37E-2</v>
      </c>
      <c r="M36" s="94">
        <v>19.1296</v>
      </c>
      <c r="N36" s="95">
        <v>1.8200000000000001E-2</v>
      </c>
      <c r="O36" s="94">
        <v>7.5346000000000002</v>
      </c>
      <c r="P36" s="95">
        <v>7.1999999999999998E-3</v>
      </c>
      <c r="Q36" s="94">
        <v>0</v>
      </c>
      <c r="R36" s="95">
        <v>0</v>
      </c>
      <c r="S36" s="94">
        <v>0</v>
      </c>
      <c r="T36" s="95">
        <v>0</v>
      </c>
      <c r="U36" s="94">
        <v>64.462900000000005</v>
      </c>
      <c r="V36" s="95">
        <v>6.13E-2</v>
      </c>
      <c r="W36" s="94">
        <v>3.7801999999999998</v>
      </c>
      <c r="X36" s="95">
        <v>3.5999999999999999E-3</v>
      </c>
      <c r="Y36" s="94">
        <v>0</v>
      </c>
      <c r="Z36" s="95">
        <v>0</v>
      </c>
      <c r="AA36" s="96">
        <f t="shared" si="6"/>
        <v>1051.8806999999997</v>
      </c>
      <c r="AB36" s="119">
        <v>1</v>
      </c>
      <c r="AC36" s="97">
        <f t="shared" si="7"/>
        <v>1048.1004999999998</v>
      </c>
      <c r="AD36" s="98">
        <f t="shared" si="8"/>
        <v>0.99640624644981135</v>
      </c>
      <c r="AE36" s="99">
        <f t="shared" si="9"/>
        <v>3.7801999999999998</v>
      </c>
      <c r="AF36" s="100">
        <f t="shared" si="10"/>
        <v>3.5937535501887248E-3</v>
      </c>
      <c r="AG36" s="99">
        <f t="shared" si="11"/>
        <v>0</v>
      </c>
      <c r="AH36" s="101">
        <f t="shared" si="12"/>
        <v>0</v>
      </c>
      <c r="AI36" s="102">
        <v>2558</v>
      </c>
      <c r="AJ36" s="103">
        <v>691</v>
      </c>
      <c r="AK36" s="104">
        <v>1372381</v>
      </c>
      <c r="AL36" s="104">
        <v>117126.81</v>
      </c>
      <c r="AM36" s="105">
        <v>11.717052654298362</v>
      </c>
      <c r="AN36" s="6">
        <v>1051.8807300000001</v>
      </c>
      <c r="AO36" s="7">
        <v>179808.614</v>
      </c>
      <c r="AP36" s="7">
        <v>19931.984100000001</v>
      </c>
      <c r="AQ36" s="12">
        <f t="shared" si="13"/>
        <v>9.021109644573718</v>
      </c>
      <c r="AR36" s="57">
        <v>12808.0733</v>
      </c>
      <c r="AS36" s="106">
        <f t="shared" si="14"/>
        <v>0.99999997147965591</v>
      </c>
      <c r="AT36" s="60">
        <v>1487.8520000000001</v>
      </c>
      <c r="AU36" s="107">
        <f t="shared" si="5"/>
        <v>1487852</v>
      </c>
      <c r="AV36" s="108">
        <f t="shared" si="15"/>
        <v>0.92239080231098258</v>
      </c>
      <c r="AW36" s="109">
        <f t="shared" si="16"/>
        <v>0.12085114245234069</v>
      </c>
      <c r="AX36" s="109">
        <f t="shared" si="17"/>
        <v>-4.3241944763323215E-2</v>
      </c>
      <c r="AY36" s="110">
        <f t="shared" si="18"/>
        <v>1.0432419447633232</v>
      </c>
      <c r="AZ36" s="111">
        <f t="shared" si="19"/>
        <v>1552189.6140000001</v>
      </c>
      <c r="BA36" s="112">
        <f t="shared" si="20"/>
        <v>0.88415808714462896</v>
      </c>
      <c r="BB36" s="113">
        <f t="shared" si="21"/>
        <v>0.11584191285537103</v>
      </c>
      <c r="BC36" s="114">
        <v>197.95699999999999</v>
      </c>
      <c r="BD36" s="115">
        <v>350.58300000000003</v>
      </c>
      <c r="BE36" s="116">
        <f t="shared" si="22"/>
        <v>548.54</v>
      </c>
      <c r="BF36" s="115">
        <v>503.34070000000003</v>
      </c>
      <c r="BG36" s="121">
        <f t="shared" si="28"/>
        <v>1051.8806999999999</v>
      </c>
      <c r="BH36" s="122">
        <f t="shared" si="23"/>
        <v>0.18819339493537623</v>
      </c>
      <c r="BI36" s="117">
        <f t="shared" si="24"/>
        <v>0.3332915985624606</v>
      </c>
      <c r="BJ36" s="117">
        <f t="shared" si="25"/>
        <v>0.52148499349783672</v>
      </c>
      <c r="BK36" s="117">
        <f t="shared" si="26"/>
        <v>0.47851500650216328</v>
      </c>
      <c r="BL36" s="118">
        <f t="shared" si="27"/>
        <v>1</v>
      </c>
    </row>
    <row r="37" spans="1:64" x14ac:dyDescent="0.2">
      <c r="A37" s="64"/>
      <c r="B37" s="199" t="s">
        <v>91</v>
      </c>
      <c r="C37" s="190">
        <v>58.001399999999997</v>
      </c>
      <c r="D37" s="95">
        <v>0.35310000000000002</v>
      </c>
      <c r="E37" s="94">
        <v>5.2645</v>
      </c>
      <c r="F37" s="95">
        <v>3.2099999999999997E-2</v>
      </c>
      <c r="G37" s="94">
        <v>19.242999999999999</v>
      </c>
      <c r="H37" s="95">
        <v>0.1172</v>
      </c>
      <c r="I37" s="94">
        <v>11.487299999999999</v>
      </c>
      <c r="J37" s="95">
        <v>6.9900000000000004E-2</v>
      </c>
      <c r="K37" s="94">
        <v>2.4117999999999999</v>
      </c>
      <c r="L37" s="95">
        <v>1.47E-2</v>
      </c>
      <c r="M37" s="94">
        <v>3.9434999999999998</v>
      </c>
      <c r="N37" s="95">
        <v>2.4E-2</v>
      </c>
      <c r="O37" s="94">
        <v>0</v>
      </c>
      <c r="P37" s="95">
        <v>0</v>
      </c>
      <c r="Q37" s="94">
        <v>6.0568</v>
      </c>
      <c r="R37" s="95">
        <v>3.6900000000000002E-2</v>
      </c>
      <c r="S37" s="94">
        <v>20.470199999999998</v>
      </c>
      <c r="T37" s="95">
        <v>0.1246</v>
      </c>
      <c r="U37" s="94">
        <v>25.292899999999999</v>
      </c>
      <c r="V37" s="95">
        <v>0.154</v>
      </c>
      <c r="W37" s="94">
        <v>5.3898999999999999</v>
      </c>
      <c r="X37" s="95">
        <v>3.2800000000000003E-2</v>
      </c>
      <c r="Y37" s="94">
        <v>6.6837</v>
      </c>
      <c r="Z37" s="95">
        <v>4.07E-2</v>
      </c>
      <c r="AA37" s="96">
        <f t="shared" si="6"/>
        <v>164.245</v>
      </c>
      <c r="AB37" s="119">
        <v>1</v>
      </c>
      <c r="AC37" s="97">
        <f t="shared" si="7"/>
        <v>125.6444</v>
      </c>
      <c r="AD37" s="98">
        <f t="shared" si="8"/>
        <v>0.76498158239215808</v>
      </c>
      <c r="AE37" s="99">
        <f t="shared" si="9"/>
        <v>38.6006</v>
      </c>
      <c r="AF37" s="100">
        <f t="shared" si="10"/>
        <v>0.23501841760784195</v>
      </c>
      <c r="AG37" s="99">
        <f t="shared" si="11"/>
        <v>27.1539</v>
      </c>
      <c r="AH37" s="101">
        <f t="shared" si="12"/>
        <v>0.16532558068738773</v>
      </c>
      <c r="AI37" s="120">
        <v>890</v>
      </c>
      <c r="AJ37" s="103">
        <v>148</v>
      </c>
      <c r="AK37" s="104">
        <v>316785</v>
      </c>
      <c r="AL37" s="104">
        <v>21475.089999999997</v>
      </c>
      <c r="AM37" s="105">
        <v>14.751276944590224</v>
      </c>
      <c r="AN37" s="6">
        <v>164.24495999999999</v>
      </c>
      <c r="AO37" s="7">
        <v>22156.202300000001</v>
      </c>
      <c r="AP37" s="7">
        <v>2422.0192900000002</v>
      </c>
      <c r="AQ37" s="12">
        <f t="shared" si="13"/>
        <v>9.1478223940982737</v>
      </c>
      <c r="AR37" s="57">
        <v>1609.1967400000001</v>
      </c>
      <c r="AS37" s="106">
        <f t="shared" si="14"/>
        <v>1.0000002435386754</v>
      </c>
      <c r="AT37" s="60">
        <v>354.31299999999999</v>
      </c>
      <c r="AU37" s="107">
        <f t="shared" si="5"/>
        <v>354313</v>
      </c>
      <c r="AV37" s="108">
        <f t="shared" si="15"/>
        <v>0.89408235091571575</v>
      </c>
      <c r="AW37" s="109">
        <f t="shared" si="16"/>
        <v>6.2532851744079396E-2</v>
      </c>
      <c r="AX37" s="109">
        <f t="shared" si="17"/>
        <v>4.3384797340204839E-2</v>
      </c>
      <c r="AY37" s="110">
        <f t="shared" si="18"/>
        <v>0.95661520265979516</v>
      </c>
      <c r="AZ37" s="111">
        <f t="shared" si="19"/>
        <v>338941.2023</v>
      </c>
      <c r="BA37" s="112">
        <f t="shared" si="20"/>
        <v>0.93463113321823488</v>
      </c>
      <c r="BB37" s="113">
        <f t="shared" si="21"/>
        <v>6.5368866781765123E-2</v>
      </c>
      <c r="BC37" s="114">
        <v>29.648099999999999</v>
      </c>
      <c r="BD37" s="115">
        <v>79.957300000000004</v>
      </c>
      <c r="BE37" s="116">
        <f t="shared" si="22"/>
        <v>109.6054</v>
      </c>
      <c r="BF37" s="115">
        <v>54.639499999999998</v>
      </c>
      <c r="BG37" s="121">
        <f t="shared" si="28"/>
        <v>164.2449</v>
      </c>
      <c r="BH37" s="122">
        <f t="shared" si="23"/>
        <v>0.18051154099762001</v>
      </c>
      <c r="BI37" s="117">
        <f t="shared" si="24"/>
        <v>0.48681755110813185</v>
      </c>
      <c r="BJ37" s="117">
        <f t="shared" si="25"/>
        <v>0.66732909210575186</v>
      </c>
      <c r="BK37" s="117">
        <f t="shared" si="26"/>
        <v>0.33267090789424814</v>
      </c>
      <c r="BL37" s="118">
        <f t="shared" si="27"/>
        <v>1</v>
      </c>
    </row>
    <row r="38" spans="1:64" x14ac:dyDescent="0.2">
      <c r="A38" s="64"/>
      <c r="B38" s="199" t="s">
        <v>92</v>
      </c>
      <c r="C38" s="190">
        <v>742.20500000000004</v>
      </c>
      <c r="D38" s="95">
        <v>0.45479999999999998</v>
      </c>
      <c r="E38" s="94">
        <v>20.6219</v>
      </c>
      <c r="F38" s="95">
        <v>1.26E-2</v>
      </c>
      <c r="G38" s="94">
        <v>65.572800000000001</v>
      </c>
      <c r="H38" s="95">
        <v>4.02E-2</v>
      </c>
      <c r="I38" s="94">
        <v>488.56970000000001</v>
      </c>
      <c r="J38" s="95">
        <v>0.2994</v>
      </c>
      <c r="K38" s="94">
        <v>11.5908</v>
      </c>
      <c r="L38" s="95">
        <v>7.1000000000000004E-3</v>
      </c>
      <c r="M38" s="94">
        <v>16.541699999999999</v>
      </c>
      <c r="N38" s="95">
        <v>1.01E-2</v>
      </c>
      <c r="O38" s="94">
        <v>17.060600000000001</v>
      </c>
      <c r="P38" s="95">
        <v>1.0500000000000001E-2</v>
      </c>
      <c r="Q38" s="94">
        <v>31.7943</v>
      </c>
      <c r="R38" s="95">
        <v>1.95E-2</v>
      </c>
      <c r="S38" s="94">
        <v>9.9281000000000006</v>
      </c>
      <c r="T38" s="95">
        <v>6.1000000000000004E-3</v>
      </c>
      <c r="U38" s="94">
        <v>101.0582</v>
      </c>
      <c r="V38" s="95">
        <v>6.1899999999999997E-2</v>
      </c>
      <c r="W38" s="94">
        <v>102.011</v>
      </c>
      <c r="X38" s="95">
        <v>6.25E-2</v>
      </c>
      <c r="Y38" s="94">
        <v>24.986899999999999</v>
      </c>
      <c r="Z38" s="95">
        <v>1.5299999999999999E-2</v>
      </c>
      <c r="AA38" s="96">
        <f t="shared" si="6"/>
        <v>1631.941</v>
      </c>
      <c r="AB38" s="119">
        <v>1</v>
      </c>
      <c r="AC38" s="97">
        <f t="shared" si="7"/>
        <v>1463.2206999999999</v>
      </c>
      <c r="AD38" s="98">
        <f t="shared" si="8"/>
        <v>0.89661372561875696</v>
      </c>
      <c r="AE38" s="99">
        <f t="shared" si="9"/>
        <v>168.72029999999998</v>
      </c>
      <c r="AF38" s="100">
        <f t="shared" si="10"/>
        <v>0.10338627438124294</v>
      </c>
      <c r="AG38" s="99">
        <f t="shared" si="11"/>
        <v>34.914999999999999</v>
      </c>
      <c r="AH38" s="101">
        <f t="shared" si="12"/>
        <v>2.1394768560873217E-2</v>
      </c>
      <c r="AI38" s="102">
        <v>4802</v>
      </c>
      <c r="AJ38" s="103">
        <v>1058</v>
      </c>
      <c r="AK38" s="104">
        <v>2548490</v>
      </c>
      <c r="AL38" s="104">
        <v>215092.2</v>
      </c>
      <c r="AM38" s="105">
        <v>11.848360842466626</v>
      </c>
      <c r="AN38" s="6">
        <v>1631.94094</v>
      </c>
      <c r="AO38" s="7">
        <v>355313.63500000001</v>
      </c>
      <c r="AP38" s="7">
        <v>40289.410000000003</v>
      </c>
      <c r="AQ38" s="12">
        <f t="shared" si="13"/>
        <v>8.8190329667274838</v>
      </c>
      <c r="AR38" s="57">
        <v>28206.301800000001</v>
      </c>
      <c r="AS38" s="106">
        <f t="shared" si="14"/>
        <v>1.0000000367660364</v>
      </c>
      <c r="AT38" s="60">
        <v>2981.078</v>
      </c>
      <c r="AU38" s="107">
        <f t="shared" ref="AU38:AU56" si="29">SUM(AT38*1000)</f>
        <v>2981078</v>
      </c>
      <c r="AV38" s="108">
        <f t="shared" si="15"/>
        <v>0.85488873488046946</v>
      </c>
      <c r="AW38" s="109">
        <f t="shared" si="16"/>
        <v>0.1191896471679037</v>
      </c>
      <c r="AX38" s="109">
        <f t="shared" si="17"/>
        <v>2.5921617951626841E-2</v>
      </c>
      <c r="AY38" s="110">
        <f t="shared" si="18"/>
        <v>0.97407838204837316</v>
      </c>
      <c r="AZ38" s="111">
        <f t="shared" si="19"/>
        <v>2903803.6349999998</v>
      </c>
      <c r="BA38" s="112">
        <f t="shared" si="20"/>
        <v>0.87763854596869129</v>
      </c>
      <c r="BB38" s="113">
        <f t="shared" si="21"/>
        <v>0.12236145403130885</v>
      </c>
      <c r="BC38" s="114">
        <v>412.87700000000001</v>
      </c>
      <c r="BD38" s="115">
        <v>701.73889999999994</v>
      </c>
      <c r="BE38" s="116">
        <f t="shared" si="22"/>
        <v>1114.6159</v>
      </c>
      <c r="BF38" s="115">
        <v>517.32500000000005</v>
      </c>
      <c r="BG38" s="121">
        <f t="shared" si="28"/>
        <v>1631.9409000000001</v>
      </c>
      <c r="BH38" s="122">
        <f t="shared" si="23"/>
        <v>0.25299751970184703</v>
      </c>
      <c r="BI38" s="117">
        <f t="shared" si="24"/>
        <v>0.43000264286531448</v>
      </c>
      <c r="BJ38" s="117">
        <f t="shared" si="25"/>
        <v>0.68300016256716156</v>
      </c>
      <c r="BK38" s="117">
        <f t="shared" si="26"/>
        <v>0.31699983743283844</v>
      </c>
      <c r="BL38" s="118">
        <f t="shared" si="27"/>
        <v>1</v>
      </c>
    </row>
    <row r="39" spans="1:64" x14ac:dyDescent="0.2">
      <c r="A39" s="64"/>
      <c r="B39" s="199" t="s">
        <v>93</v>
      </c>
      <c r="C39" s="190">
        <v>147.87809999999999</v>
      </c>
      <c r="D39" s="95">
        <v>0.2102</v>
      </c>
      <c r="E39" s="94">
        <v>75.714399999999998</v>
      </c>
      <c r="F39" s="95">
        <v>0.1076</v>
      </c>
      <c r="G39" s="94">
        <v>78.893900000000002</v>
      </c>
      <c r="H39" s="95">
        <v>0.11210000000000001</v>
      </c>
      <c r="I39" s="94">
        <v>117.5951</v>
      </c>
      <c r="J39" s="95">
        <v>0.16719999999999999</v>
      </c>
      <c r="K39" s="94">
        <v>37.4054</v>
      </c>
      <c r="L39" s="95">
        <v>5.3199999999999997E-2</v>
      </c>
      <c r="M39" s="94">
        <v>1.4211</v>
      </c>
      <c r="N39" s="95">
        <v>2E-3</v>
      </c>
      <c r="O39" s="94">
        <v>16.663</v>
      </c>
      <c r="P39" s="95">
        <v>2.3699999999999999E-2</v>
      </c>
      <c r="Q39" s="94">
        <v>45.207500000000003</v>
      </c>
      <c r="R39" s="95">
        <v>6.4299999999999996E-2</v>
      </c>
      <c r="S39" s="94">
        <v>0</v>
      </c>
      <c r="T39" s="95">
        <v>0</v>
      </c>
      <c r="U39" s="94">
        <v>109.9683</v>
      </c>
      <c r="V39" s="95">
        <v>0.15629999999999999</v>
      </c>
      <c r="W39" s="94">
        <v>61.619900000000001</v>
      </c>
      <c r="X39" s="95">
        <v>8.7599999999999997E-2</v>
      </c>
      <c r="Y39" s="94">
        <v>11.1242</v>
      </c>
      <c r="Z39" s="95">
        <v>1.5800000000000002E-2</v>
      </c>
      <c r="AA39" s="96">
        <f t="shared" si="6"/>
        <v>703.49090000000001</v>
      </c>
      <c r="AB39" s="119">
        <v>1</v>
      </c>
      <c r="AC39" s="97">
        <f t="shared" si="7"/>
        <v>585.53930000000003</v>
      </c>
      <c r="AD39" s="98">
        <f t="shared" si="8"/>
        <v>0.83233386529946585</v>
      </c>
      <c r="AE39" s="99">
        <f t="shared" si="9"/>
        <v>117.95160000000001</v>
      </c>
      <c r="AF39" s="100">
        <f t="shared" si="10"/>
        <v>0.16766613470053418</v>
      </c>
      <c r="AG39" s="99">
        <f t="shared" si="11"/>
        <v>11.1242</v>
      </c>
      <c r="AH39" s="101">
        <f t="shared" si="12"/>
        <v>1.581285557496195E-2</v>
      </c>
      <c r="AI39" s="102">
        <v>2719</v>
      </c>
      <c r="AJ39" s="103">
        <v>350</v>
      </c>
      <c r="AK39" s="104">
        <v>1525223</v>
      </c>
      <c r="AL39" s="104">
        <v>102033.60999999999</v>
      </c>
      <c r="AM39" s="105">
        <v>14.948241074681178</v>
      </c>
      <c r="AN39" s="6">
        <v>703.49090999999999</v>
      </c>
      <c r="AO39" s="7">
        <v>127733.02</v>
      </c>
      <c r="AP39" s="7">
        <v>13495.324000000001</v>
      </c>
      <c r="AQ39" s="12">
        <f t="shared" si="13"/>
        <v>9.464983575051626</v>
      </c>
      <c r="AR39" s="57">
        <v>7999.0221099999999</v>
      </c>
      <c r="AS39" s="106">
        <f t="shared" si="14"/>
        <v>0.99999998578517524</v>
      </c>
      <c r="AT39" s="60">
        <v>1693.741</v>
      </c>
      <c r="AU39" s="107">
        <f t="shared" si="29"/>
        <v>1693741</v>
      </c>
      <c r="AV39" s="108">
        <f t="shared" si="15"/>
        <v>0.90050544918024655</v>
      </c>
      <c r="AW39" s="109">
        <f t="shared" si="16"/>
        <v>7.5414729879007478E-2</v>
      </c>
      <c r="AX39" s="109">
        <f t="shared" si="17"/>
        <v>2.4079820940746011E-2</v>
      </c>
      <c r="AY39" s="110">
        <f t="shared" si="18"/>
        <v>0.97592017905925399</v>
      </c>
      <c r="AZ39" s="111">
        <f t="shared" si="19"/>
        <v>1652956.02</v>
      </c>
      <c r="BA39" s="112">
        <f t="shared" si="20"/>
        <v>0.92272448966912013</v>
      </c>
      <c r="BB39" s="113">
        <f t="shared" si="21"/>
        <v>7.7275510330879829E-2</v>
      </c>
      <c r="BC39" s="114">
        <v>51.843000000000004</v>
      </c>
      <c r="BD39" s="115">
        <v>411.63240000000002</v>
      </c>
      <c r="BE39" s="116">
        <f t="shared" si="22"/>
        <v>463.47540000000004</v>
      </c>
      <c r="BF39" s="115">
        <v>240.0155</v>
      </c>
      <c r="BG39" s="121">
        <f t="shared" si="28"/>
        <v>703.49090000000001</v>
      </c>
      <c r="BH39" s="122">
        <f t="shared" si="23"/>
        <v>7.3693917007313106E-2</v>
      </c>
      <c r="BI39" s="117">
        <f t="shared" si="24"/>
        <v>0.58512825112592082</v>
      </c>
      <c r="BJ39" s="117">
        <f t="shared" si="25"/>
        <v>0.65882216813323391</v>
      </c>
      <c r="BK39" s="117">
        <f t="shared" si="26"/>
        <v>0.34117783186676615</v>
      </c>
      <c r="BL39" s="118">
        <f t="shared" si="27"/>
        <v>1</v>
      </c>
    </row>
    <row r="40" spans="1:64" x14ac:dyDescent="0.2">
      <c r="A40" s="64"/>
      <c r="B40" s="199" t="s">
        <v>94</v>
      </c>
      <c r="C40" s="190">
        <v>0</v>
      </c>
      <c r="D40" s="95">
        <v>0</v>
      </c>
      <c r="E40" s="94">
        <v>8.7330000000000005</v>
      </c>
      <c r="F40" s="95">
        <v>0.16489999999999999</v>
      </c>
      <c r="G40" s="94">
        <v>10.8667</v>
      </c>
      <c r="H40" s="95">
        <v>0.20519999999999999</v>
      </c>
      <c r="I40" s="94">
        <v>0</v>
      </c>
      <c r="J40" s="95">
        <v>0</v>
      </c>
      <c r="K40" s="94">
        <v>1.2181999999999999</v>
      </c>
      <c r="L40" s="95">
        <v>2.3E-2</v>
      </c>
      <c r="M40" s="94">
        <v>1.0625</v>
      </c>
      <c r="N40" s="95">
        <v>2.01E-2</v>
      </c>
      <c r="O40" s="94">
        <v>0</v>
      </c>
      <c r="P40" s="95">
        <v>0</v>
      </c>
      <c r="Q40" s="94">
        <v>1.0307999999999999</v>
      </c>
      <c r="R40" s="95">
        <v>1.95E-2</v>
      </c>
      <c r="S40" s="94">
        <v>17.244700000000002</v>
      </c>
      <c r="T40" s="95">
        <v>0.32569999999999999</v>
      </c>
      <c r="U40" s="94">
        <v>6.2760999999999996</v>
      </c>
      <c r="V40" s="95">
        <v>0.11849999999999999</v>
      </c>
      <c r="W40" s="94">
        <v>1.0952</v>
      </c>
      <c r="X40" s="95">
        <v>2.07E-2</v>
      </c>
      <c r="Y40" s="94">
        <v>5.4187000000000003</v>
      </c>
      <c r="Z40" s="95">
        <v>0.1023</v>
      </c>
      <c r="AA40" s="96">
        <f t="shared" si="6"/>
        <v>52.945900000000002</v>
      </c>
      <c r="AB40" s="119">
        <v>1</v>
      </c>
      <c r="AC40" s="97">
        <f t="shared" si="7"/>
        <v>28.156499999999998</v>
      </c>
      <c r="AD40" s="98">
        <f t="shared" si="8"/>
        <v>0.53179755184065236</v>
      </c>
      <c r="AE40" s="99">
        <f t="shared" si="9"/>
        <v>24.789400000000001</v>
      </c>
      <c r="AF40" s="100">
        <f t="shared" si="10"/>
        <v>0.46820244815934753</v>
      </c>
      <c r="AG40" s="99">
        <f t="shared" si="11"/>
        <v>22.663400000000003</v>
      </c>
      <c r="AH40" s="101">
        <f t="shared" si="12"/>
        <v>0.42804825302809096</v>
      </c>
      <c r="AI40" s="120">
        <v>513</v>
      </c>
      <c r="AJ40" s="103">
        <v>219</v>
      </c>
      <c r="AK40" s="104">
        <v>116864</v>
      </c>
      <c r="AL40" s="104">
        <v>9530.630000000001</v>
      </c>
      <c r="AM40" s="105">
        <v>12.26193861266254</v>
      </c>
      <c r="AN40" s="6">
        <v>52.945810000000002</v>
      </c>
      <c r="AO40" s="7">
        <v>11562.806</v>
      </c>
      <c r="AP40" s="7">
        <v>986.38025000000005</v>
      </c>
      <c r="AQ40" s="12">
        <f t="shared" si="13"/>
        <v>11.722463015657501</v>
      </c>
      <c r="AR40" s="57">
        <v>599.51265999999998</v>
      </c>
      <c r="AS40" s="106">
        <f t="shared" si="14"/>
        <v>1.0000016998512253</v>
      </c>
      <c r="AT40" s="60">
        <v>132.15100000000001</v>
      </c>
      <c r="AU40" s="107">
        <f t="shared" si="29"/>
        <v>132151</v>
      </c>
      <c r="AV40" s="108">
        <f t="shared" si="15"/>
        <v>0.88432172287761723</v>
      </c>
      <c r="AW40" s="109">
        <f t="shared" si="16"/>
        <v>8.7496923973333543E-2</v>
      </c>
      <c r="AX40" s="109">
        <f t="shared" si="17"/>
        <v>2.8181353149049237E-2</v>
      </c>
      <c r="AY40" s="110">
        <f t="shared" si="18"/>
        <v>0.97181864685095076</v>
      </c>
      <c r="AZ40" s="111">
        <f t="shared" si="19"/>
        <v>128426.806</v>
      </c>
      <c r="BA40" s="112">
        <f t="shared" si="20"/>
        <v>0.90996579016377632</v>
      </c>
      <c r="BB40" s="113">
        <f t="shared" si="21"/>
        <v>9.0034209836223761E-2</v>
      </c>
      <c r="BC40" s="114">
        <v>27.461200000000002</v>
      </c>
      <c r="BD40" s="115">
        <v>20.652100000000001</v>
      </c>
      <c r="BE40" s="116">
        <f t="shared" si="22"/>
        <v>48.113300000000002</v>
      </c>
      <c r="BF40" s="115">
        <v>4.8324999999999996</v>
      </c>
      <c r="BG40" s="121">
        <f t="shared" si="28"/>
        <v>52.945800000000006</v>
      </c>
      <c r="BH40" s="122">
        <f t="shared" si="23"/>
        <v>0.51866625870229555</v>
      </c>
      <c r="BI40" s="117">
        <f t="shared" si="24"/>
        <v>0.39006115688118792</v>
      </c>
      <c r="BJ40" s="117">
        <f t="shared" si="25"/>
        <v>0.90872741558348347</v>
      </c>
      <c r="BK40" s="117">
        <f t="shared" si="26"/>
        <v>9.1272584416516492E-2</v>
      </c>
      <c r="BL40" s="118">
        <f t="shared" si="27"/>
        <v>1</v>
      </c>
    </row>
    <row r="41" spans="1:64" x14ac:dyDescent="0.2">
      <c r="A41" s="64"/>
      <c r="B41" s="199" t="s">
        <v>95</v>
      </c>
      <c r="C41" s="190">
        <v>165.73849999999999</v>
      </c>
      <c r="D41" s="95">
        <v>0.12230000000000001</v>
      </c>
      <c r="E41" s="94">
        <v>20.926200000000001</v>
      </c>
      <c r="F41" s="95">
        <v>1.54E-2</v>
      </c>
      <c r="G41" s="94">
        <v>52.437399999999997</v>
      </c>
      <c r="H41" s="95">
        <v>3.8699999999999998E-2</v>
      </c>
      <c r="I41" s="94">
        <v>426.61599999999999</v>
      </c>
      <c r="J41" s="95">
        <v>0.31490000000000001</v>
      </c>
      <c r="K41" s="94">
        <v>5.6954000000000002</v>
      </c>
      <c r="L41" s="95">
        <v>4.1999999999999997E-3</v>
      </c>
      <c r="M41" s="94">
        <v>25.703399999999998</v>
      </c>
      <c r="N41" s="95">
        <v>1.9E-2</v>
      </c>
      <c r="O41" s="94">
        <v>49.016800000000003</v>
      </c>
      <c r="P41" s="95">
        <v>3.6200000000000003E-2</v>
      </c>
      <c r="Q41" s="94">
        <v>88.213300000000004</v>
      </c>
      <c r="R41" s="95">
        <v>6.5100000000000005E-2</v>
      </c>
      <c r="S41" s="94">
        <v>1.0303</v>
      </c>
      <c r="T41" s="95">
        <v>8.0000000000000004E-4</v>
      </c>
      <c r="U41" s="94">
        <v>146.57919999999999</v>
      </c>
      <c r="V41" s="95">
        <v>0.1082</v>
      </c>
      <c r="W41" s="94">
        <v>373</v>
      </c>
      <c r="X41" s="95">
        <v>0.27529999999999999</v>
      </c>
      <c r="Y41" s="94">
        <v>0</v>
      </c>
      <c r="Z41" s="95">
        <v>0</v>
      </c>
      <c r="AA41" s="96">
        <f t="shared" si="6"/>
        <v>1354.9564999999998</v>
      </c>
      <c r="AB41" s="119">
        <v>1</v>
      </c>
      <c r="AC41" s="97">
        <f t="shared" si="7"/>
        <v>892.71289999999988</v>
      </c>
      <c r="AD41" s="98">
        <f t="shared" si="8"/>
        <v>0.65884985975564536</v>
      </c>
      <c r="AE41" s="99">
        <f t="shared" si="9"/>
        <v>462.24360000000001</v>
      </c>
      <c r="AF41" s="100">
        <f t="shared" si="10"/>
        <v>0.34115014024435475</v>
      </c>
      <c r="AG41" s="99">
        <f t="shared" si="11"/>
        <v>1.0303</v>
      </c>
      <c r="AH41" s="101">
        <f t="shared" si="12"/>
        <v>7.6039341484394527E-4</v>
      </c>
      <c r="AI41" s="102">
        <v>3659</v>
      </c>
      <c r="AJ41" s="104">
        <v>1046</v>
      </c>
      <c r="AK41" s="104">
        <v>1683612</v>
      </c>
      <c r="AL41" s="104">
        <v>99442.040000000008</v>
      </c>
      <c r="AM41" s="105">
        <v>16.930585897071296</v>
      </c>
      <c r="AN41" s="6">
        <v>1354.9564</v>
      </c>
      <c r="AO41" s="7">
        <v>198751.24400000001</v>
      </c>
      <c r="AP41" s="7">
        <v>17437.310600000001</v>
      </c>
      <c r="AQ41" s="12">
        <f t="shared" si="13"/>
        <v>11.398044604424262</v>
      </c>
      <c r="AR41" s="57">
        <v>12362.294099999999</v>
      </c>
      <c r="AS41" s="106">
        <f t="shared" si="14"/>
        <v>1.0000000738031125</v>
      </c>
      <c r="AT41" s="60">
        <v>1912.2439999999999</v>
      </c>
      <c r="AU41" s="107">
        <f t="shared" si="29"/>
        <v>1912244</v>
      </c>
      <c r="AV41" s="108">
        <f t="shared" si="15"/>
        <v>0.88043785207327097</v>
      </c>
      <c r="AW41" s="109">
        <f t="shared" si="16"/>
        <v>0.10393613158153457</v>
      </c>
      <c r="AX41" s="109">
        <f t="shared" si="17"/>
        <v>1.5626016345194449E-2</v>
      </c>
      <c r="AY41" s="110">
        <f t="shared" si="18"/>
        <v>0.98437398365480555</v>
      </c>
      <c r="AZ41" s="111">
        <f t="shared" si="19"/>
        <v>1882363.2439999999</v>
      </c>
      <c r="BA41" s="112">
        <f t="shared" si="20"/>
        <v>0.89441397953688473</v>
      </c>
      <c r="BB41" s="113">
        <f t="shared" si="21"/>
        <v>0.10558602046311526</v>
      </c>
      <c r="BC41" s="114">
        <v>400.3186</v>
      </c>
      <c r="BD41" s="115">
        <v>714.66849999999999</v>
      </c>
      <c r="BE41" s="116">
        <f t="shared" si="22"/>
        <v>1114.9871000000001</v>
      </c>
      <c r="BF41" s="115">
        <v>239.9693</v>
      </c>
      <c r="BG41" s="121">
        <f t="shared" si="28"/>
        <v>1354.9564</v>
      </c>
      <c r="BH41" s="122">
        <f t="shared" si="23"/>
        <v>0.29544758783382252</v>
      </c>
      <c r="BI41" s="117">
        <f t="shared" si="24"/>
        <v>0.52744759905189564</v>
      </c>
      <c r="BJ41" s="117">
        <f t="shared" si="25"/>
        <v>0.82289518688571828</v>
      </c>
      <c r="BK41" s="117">
        <f t="shared" si="26"/>
        <v>0.17710481311428175</v>
      </c>
      <c r="BL41" s="118">
        <f t="shared" si="27"/>
        <v>1</v>
      </c>
    </row>
    <row r="42" spans="1:64" x14ac:dyDescent="0.2">
      <c r="A42" s="64"/>
      <c r="B42" s="199" t="s">
        <v>96</v>
      </c>
      <c r="C42" s="190">
        <v>83.157700000000006</v>
      </c>
      <c r="D42" s="95">
        <v>0.43959999999999999</v>
      </c>
      <c r="E42" s="94">
        <v>0</v>
      </c>
      <c r="F42" s="95">
        <v>0</v>
      </c>
      <c r="G42" s="94">
        <v>1.0369999999999999</v>
      </c>
      <c r="H42" s="95">
        <v>5.4999999999999997E-3</v>
      </c>
      <c r="I42" s="94">
        <v>32.716900000000003</v>
      </c>
      <c r="J42" s="95">
        <v>0.17299999999999999</v>
      </c>
      <c r="K42" s="94">
        <v>7.0659000000000001</v>
      </c>
      <c r="L42" s="95">
        <v>3.7400000000000003E-2</v>
      </c>
      <c r="M42" s="94">
        <v>0</v>
      </c>
      <c r="N42" s="95">
        <v>0</v>
      </c>
      <c r="O42" s="94">
        <v>4.0507999999999997</v>
      </c>
      <c r="P42" s="95">
        <v>2.1399999999999999E-2</v>
      </c>
      <c r="Q42" s="94">
        <v>8.9061000000000003</v>
      </c>
      <c r="R42" s="95">
        <v>4.7100000000000003E-2</v>
      </c>
      <c r="S42" s="94">
        <v>14.781499999999999</v>
      </c>
      <c r="T42" s="95">
        <v>7.8100000000000003E-2</v>
      </c>
      <c r="U42" s="94">
        <v>28.117000000000001</v>
      </c>
      <c r="V42" s="95">
        <v>0.14860000000000001</v>
      </c>
      <c r="W42" s="94">
        <v>7.8483000000000001</v>
      </c>
      <c r="X42" s="95">
        <v>4.1500000000000002E-2</v>
      </c>
      <c r="Y42" s="94">
        <v>1.4708000000000001</v>
      </c>
      <c r="Z42" s="95">
        <v>7.7999999999999996E-3</v>
      </c>
      <c r="AA42" s="96">
        <f t="shared" si="6"/>
        <v>189.15200000000002</v>
      </c>
      <c r="AB42" s="119">
        <v>1</v>
      </c>
      <c r="AC42" s="97">
        <f t="shared" si="7"/>
        <v>156.14530000000002</v>
      </c>
      <c r="AD42" s="98">
        <f t="shared" si="8"/>
        <v>0.82550171290813745</v>
      </c>
      <c r="AE42" s="99">
        <f t="shared" si="9"/>
        <v>33.006699999999995</v>
      </c>
      <c r="AF42" s="100">
        <f t="shared" si="10"/>
        <v>0.17449828709186258</v>
      </c>
      <c r="AG42" s="99">
        <f t="shared" si="11"/>
        <v>16.252299999999998</v>
      </c>
      <c r="AH42" s="101">
        <f t="shared" si="12"/>
        <v>8.5921904077144284E-2</v>
      </c>
      <c r="AI42" s="102">
        <v>1792</v>
      </c>
      <c r="AJ42" s="103">
        <v>596</v>
      </c>
      <c r="AK42" s="104">
        <v>698696</v>
      </c>
      <c r="AL42" s="104">
        <v>43090</v>
      </c>
      <c r="AM42" s="105">
        <v>16.214806219540495</v>
      </c>
      <c r="AN42" s="6">
        <v>189.15199999999999</v>
      </c>
      <c r="AO42" s="7">
        <v>34495.6201</v>
      </c>
      <c r="AP42" s="7">
        <v>3756.16437</v>
      </c>
      <c r="AQ42" s="12">
        <f t="shared" si="13"/>
        <v>9.18373550835849</v>
      </c>
      <c r="AR42" s="57">
        <v>2180.7489500000001</v>
      </c>
      <c r="AS42" s="106">
        <f t="shared" si="14"/>
        <v>1.0000000000000002</v>
      </c>
      <c r="AT42" s="60">
        <v>706.07600000000002</v>
      </c>
      <c r="AU42" s="107">
        <f t="shared" si="29"/>
        <v>706076</v>
      </c>
      <c r="AV42" s="108">
        <f t="shared" si="15"/>
        <v>0.98954786736838529</v>
      </c>
      <c r="AW42" s="109">
        <f t="shared" si="16"/>
        <v>4.8855392478996597E-2</v>
      </c>
      <c r="AX42" s="109">
        <f t="shared" si="17"/>
        <v>-3.8403259847381799E-2</v>
      </c>
      <c r="AY42" s="110">
        <f t="shared" si="18"/>
        <v>1.0384032598473818</v>
      </c>
      <c r="AZ42" s="111">
        <f t="shared" si="19"/>
        <v>733191.62009999994</v>
      </c>
      <c r="BA42" s="112">
        <f t="shared" si="20"/>
        <v>0.95295142612882688</v>
      </c>
      <c r="BB42" s="113">
        <f t="shared" si="21"/>
        <v>4.7048573871173192E-2</v>
      </c>
      <c r="BC42" s="114">
        <v>27.0291</v>
      </c>
      <c r="BD42" s="115">
        <v>125.44410000000001</v>
      </c>
      <c r="BE42" s="116">
        <f t="shared" si="22"/>
        <v>152.47320000000002</v>
      </c>
      <c r="BF42" s="115">
        <v>36.678699999999999</v>
      </c>
      <c r="BG42" s="121">
        <f t="shared" si="28"/>
        <v>189.15190000000001</v>
      </c>
      <c r="BH42" s="122">
        <f t="shared" si="23"/>
        <v>0.14289626485380266</v>
      </c>
      <c r="BI42" s="117">
        <f t="shared" si="24"/>
        <v>0.66319238664797975</v>
      </c>
      <c r="BJ42" s="117">
        <f t="shared" si="25"/>
        <v>0.80608865150178244</v>
      </c>
      <c r="BK42" s="117">
        <f t="shared" si="26"/>
        <v>0.19391134849821756</v>
      </c>
      <c r="BL42" s="118">
        <f t="shared" si="27"/>
        <v>1</v>
      </c>
    </row>
    <row r="43" spans="1:64" x14ac:dyDescent="0.2">
      <c r="A43" s="64"/>
      <c r="B43" s="199" t="s">
        <v>97</v>
      </c>
      <c r="C43" s="190">
        <v>71.223600000000005</v>
      </c>
      <c r="D43" s="95">
        <v>0.20580000000000001</v>
      </c>
      <c r="E43" s="94">
        <v>48.780299999999997</v>
      </c>
      <c r="F43" s="95">
        <v>0.14099999999999999</v>
      </c>
      <c r="G43" s="94">
        <v>39.6068</v>
      </c>
      <c r="H43" s="95">
        <v>0.1145</v>
      </c>
      <c r="I43" s="94">
        <v>67.834199999999996</v>
      </c>
      <c r="J43" s="95">
        <v>0.19600000000000001</v>
      </c>
      <c r="K43" s="94">
        <v>9.4601000000000006</v>
      </c>
      <c r="L43" s="95">
        <v>2.7300000000000001E-2</v>
      </c>
      <c r="M43" s="94">
        <v>5.9141000000000004</v>
      </c>
      <c r="N43" s="95">
        <v>1.7100000000000001E-2</v>
      </c>
      <c r="O43" s="94">
        <v>8.1806000000000001</v>
      </c>
      <c r="P43" s="95">
        <v>2.3599999999999999E-2</v>
      </c>
      <c r="Q43" s="94">
        <v>21.561499999999999</v>
      </c>
      <c r="R43" s="95">
        <v>6.2300000000000001E-2</v>
      </c>
      <c r="S43" s="94">
        <v>25.555099999999999</v>
      </c>
      <c r="T43" s="95">
        <v>7.3899999999999993E-2</v>
      </c>
      <c r="U43" s="94">
        <v>34.553100000000001</v>
      </c>
      <c r="V43" s="95">
        <v>9.9900000000000003E-2</v>
      </c>
      <c r="W43" s="94">
        <v>11.019500000000001</v>
      </c>
      <c r="X43" s="95">
        <v>3.1800000000000002E-2</v>
      </c>
      <c r="Y43" s="94">
        <v>2.3260000000000001</v>
      </c>
      <c r="Z43" s="95">
        <v>6.7000000000000002E-3</v>
      </c>
      <c r="AA43" s="96">
        <f t="shared" si="6"/>
        <v>346.01490000000001</v>
      </c>
      <c r="AB43" s="119">
        <v>1</v>
      </c>
      <c r="AC43" s="97">
        <f t="shared" si="7"/>
        <v>285.55280000000005</v>
      </c>
      <c r="AD43" s="98">
        <f t="shared" si="8"/>
        <v>0.82526157110575304</v>
      </c>
      <c r="AE43" s="99">
        <f t="shared" si="9"/>
        <v>60.4621</v>
      </c>
      <c r="AF43" s="100">
        <f t="shared" si="10"/>
        <v>0.17473842889424704</v>
      </c>
      <c r="AG43" s="99">
        <f t="shared" si="11"/>
        <v>27.8811</v>
      </c>
      <c r="AH43" s="101">
        <f t="shared" si="12"/>
        <v>8.0577743906404029E-2</v>
      </c>
      <c r="AI43" s="102">
        <v>1285</v>
      </c>
      <c r="AJ43" s="103">
        <v>222</v>
      </c>
      <c r="AK43" s="104">
        <v>553012</v>
      </c>
      <c r="AL43" s="104">
        <v>31628.809999999998</v>
      </c>
      <c r="AM43" s="105">
        <v>17.484439028847437</v>
      </c>
      <c r="AN43" s="6">
        <v>346.01494000000002</v>
      </c>
      <c r="AO43" s="7">
        <v>43265.277399999999</v>
      </c>
      <c r="AP43" s="7">
        <v>3975.15535</v>
      </c>
      <c r="AQ43" s="12">
        <f t="shared" si="13"/>
        <v>10.88392115291796</v>
      </c>
      <c r="AR43" s="57">
        <v>2481.3773700000002</v>
      </c>
      <c r="AS43" s="106">
        <f t="shared" si="14"/>
        <v>0.99999988439805509</v>
      </c>
      <c r="AT43" s="60">
        <v>640.54300000000001</v>
      </c>
      <c r="AU43" s="107">
        <f t="shared" si="29"/>
        <v>640543</v>
      </c>
      <c r="AV43" s="108">
        <f t="shared" si="15"/>
        <v>0.86334875254276455</v>
      </c>
      <c r="AW43" s="109">
        <f t="shared" si="16"/>
        <v>6.754468849085854E-2</v>
      </c>
      <c r="AX43" s="109">
        <f t="shared" si="17"/>
        <v>6.9106558966376852E-2</v>
      </c>
      <c r="AY43" s="110">
        <f t="shared" si="18"/>
        <v>0.93089344103362315</v>
      </c>
      <c r="AZ43" s="111">
        <f t="shared" si="19"/>
        <v>596277.27740000002</v>
      </c>
      <c r="BA43" s="112">
        <f t="shared" si="20"/>
        <v>0.92744100934274509</v>
      </c>
      <c r="BB43" s="113">
        <f t="shared" si="21"/>
        <v>7.2558990657254921E-2</v>
      </c>
      <c r="BC43" s="114">
        <v>53.725999999999999</v>
      </c>
      <c r="BD43" s="115">
        <v>136.19560000000001</v>
      </c>
      <c r="BE43" s="116">
        <f t="shared" si="22"/>
        <v>189.92160000000001</v>
      </c>
      <c r="BF43" s="115">
        <v>156.0934</v>
      </c>
      <c r="BG43" s="121">
        <f t="shared" si="28"/>
        <v>346.01499999999999</v>
      </c>
      <c r="BH43" s="122">
        <f t="shared" si="23"/>
        <v>0.15527072525757554</v>
      </c>
      <c r="BI43" s="117">
        <f t="shared" si="24"/>
        <v>0.39361183763709673</v>
      </c>
      <c r="BJ43" s="117">
        <f t="shared" si="25"/>
        <v>0.5488825628946723</v>
      </c>
      <c r="BK43" s="117">
        <f t="shared" si="26"/>
        <v>0.45111743710532781</v>
      </c>
      <c r="BL43" s="118">
        <f t="shared" si="27"/>
        <v>1</v>
      </c>
    </row>
    <row r="44" spans="1:64" x14ac:dyDescent="0.2">
      <c r="A44" s="64"/>
      <c r="B44" s="199" t="s">
        <v>98</v>
      </c>
      <c r="C44" s="190">
        <v>202.56739999999999</v>
      </c>
      <c r="D44" s="95">
        <v>9.3899999999999997E-2</v>
      </c>
      <c r="E44" s="94">
        <v>6.4020000000000001</v>
      </c>
      <c r="F44" s="95">
        <v>3.0000000000000001E-3</v>
      </c>
      <c r="G44" s="94">
        <v>103.4757</v>
      </c>
      <c r="H44" s="95">
        <v>4.8000000000000001E-2</v>
      </c>
      <c r="I44" s="94">
        <v>757.48950000000002</v>
      </c>
      <c r="J44" s="95">
        <v>0.3513</v>
      </c>
      <c r="K44" s="94">
        <v>47.049700000000001</v>
      </c>
      <c r="L44" s="95">
        <v>2.18E-2</v>
      </c>
      <c r="M44" s="94">
        <v>60.878599999999999</v>
      </c>
      <c r="N44" s="95">
        <v>2.8199999999999999E-2</v>
      </c>
      <c r="O44" s="94">
        <v>27.1966</v>
      </c>
      <c r="P44" s="95">
        <v>1.26E-2</v>
      </c>
      <c r="Q44" s="94">
        <v>38.532200000000003</v>
      </c>
      <c r="R44" s="95">
        <v>1.7899999999999999E-2</v>
      </c>
      <c r="S44" s="94">
        <v>18.363099999999999</v>
      </c>
      <c r="T44" s="95">
        <v>8.5000000000000006E-3</v>
      </c>
      <c r="U44" s="94">
        <v>397.14920000000001</v>
      </c>
      <c r="V44" s="95">
        <v>0.1842</v>
      </c>
      <c r="W44" s="94">
        <v>472.80259999999998</v>
      </c>
      <c r="X44" s="95">
        <v>0.21929999999999999</v>
      </c>
      <c r="Y44" s="94">
        <v>24.491299999999999</v>
      </c>
      <c r="Z44" s="95">
        <v>1.14E-2</v>
      </c>
      <c r="AA44" s="96">
        <f t="shared" si="6"/>
        <v>2156.3979000000004</v>
      </c>
      <c r="AB44" s="119">
        <v>1</v>
      </c>
      <c r="AC44" s="97">
        <f t="shared" si="7"/>
        <v>1602.2087000000001</v>
      </c>
      <c r="AD44" s="98">
        <f t="shared" si="8"/>
        <v>0.74300234664483755</v>
      </c>
      <c r="AE44" s="99">
        <f t="shared" si="9"/>
        <v>554.18920000000003</v>
      </c>
      <c r="AF44" s="100">
        <f t="shared" si="10"/>
        <v>0.25699765335516228</v>
      </c>
      <c r="AG44" s="99">
        <f t="shared" si="11"/>
        <v>42.854399999999998</v>
      </c>
      <c r="AH44" s="101">
        <f t="shared" si="12"/>
        <v>1.9873141223148098E-2</v>
      </c>
      <c r="AI44" s="102">
        <v>2941</v>
      </c>
      <c r="AJ44" s="103">
        <v>789</v>
      </c>
      <c r="AK44" s="104">
        <v>1695092</v>
      </c>
      <c r="AL44" s="104">
        <v>126344.45999999999</v>
      </c>
      <c r="AM44" s="105">
        <v>13.416433138421741</v>
      </c>
      <c r="AN44" s="6">
        <v>2156.3980299999998</v>
      </c>
      <c r="AO44" s="7">
        <v>220603.755</v>
      </c>
      <c r="AP44" s="7">
        <v>22403.755399999998</v>
      </c>
      <c r="AQ44" s="12">
        <f t="shared" si="13"/>
        <v>9.846731097590899</v>
      </c>
      <c r="AR44" s="57">
        <v>15786.2808</v>
      </c>
      <c r="AS44" s="106">
        <f t="shared" si="14"/>
        <v>0.99999993971428391</v>
      </c>
      <c r="AT44" s="60">
        <v>1970.3309999999999</v>
      </c>
      <c r="AU44" s="107">
        <f t="shared" si="29"/>
        <v>1970331</v>
      </c>
      <c r="AV44" s="108">
        <f t="shared" si="15"/>
        <v>0.86030824262522387</v>
      </c>
      <c r="AW44" s="109">
        <f t="shared" si="16"/>
        <v>0.11196278950085037</v>
      </c>
      <c r="AX44" s="109">
        <f t="shared" si="17"/>
        <v>2.7728967873925758E-2</v>
      </c>
      <c r="AY44" s="110">
        <f t="shared" si="18"/>
        <v>0.97227103212607424</v>
      </c>
      <c r="AZ44" s="111">
        <f t="shared" si="19"/>
        <v>1915695.7549999999</v>
      </c>
      <c r="BA44" s="112">
        <f t="shared" si="20"/>
        <v>0.88484405499974605</v>
      </c>
      <c r="BB44" s="113">
        <f t="shared" si="21"/>
        <v>0.11515594500025397</v>
      </c>
      <c r="BC44" s="114">
        <v>373.9169</v>
      </c>
      <c r="BD44" s="115">
        <v>1171.5195000000001</v>
      </c>
      <c r="BE44" s="116">
        <f t="shared" si="22"/>
        <v>1545.4364</v>
      </c>
      <c r="BF44" s="115">
        <v>610.96159999999998</v>
      </c>
      <c r="BG44" s="121">
        <f t="shared" si="28"/>
        <v>2156.3980000000001</v>
      </c>
      <c r="BH44" s="122">
        <f t="shared" si="23"/>
        <v>0.17339883453796562</v>
      </c>
      <c r="BI44" s="117">
        <f t="shared" si="24"/>
        <v>0.5432761020924709</v>
      </c>
      <c r="BJ44" s="117">
        <f t="shared" si="25"/>
        <v>0.71667493663043647</v>
      </c>
      <c r="BK44" s="117">
        <f t="shared" si="26"/>
        <v>0.28332506336956348</v>
      </c>
      <c r="BL44" s="118">
        <f t="shared" si="27"/>
        <v>1</v>
      </c>
    </row>
    <row r="45" spans="1:64" x14ac:dyDescent="0.2">
      <c r="A45" s="64"/>
      <c r="B45" s="199" t="s">
        <v>99</v>
      </c>
      <c r="C45" s="190">
        <v>0</v>
      </c>
      <c r="D45" s="95">
        <v>0</v>
      </c>
      <c r="E45" s="94">
        <v>27.9604</v>
      </c>
      <c r="F45" s="95">
        <v>0.26200000000000001</v>
      </c>
      <c r="G45" s="94">
        <v>12.5648</v>
      </c>
      <c r="H45" s="95">
        <v>0.1178</v>
      </c>
      <c r="I45" s="94">
        <v>62.672699999999999</v>
      </c>
      <c r="J45" s="95">
        <v>0.58740000000000003</v>
      </c>
      <c r="K45" s="94">
        <v>0</v>
      </c>
      <c r="L45" s="95">
        <v>0</v>
      </c>
      <c r="M45" s="94">
        <v>0</v>
      </c>
      <c r="N45" s="95">
        <v>0</v>
      </c>
      <c r="O45" s="94">
        <v>0</v>
      </c>
      <c r="P45" s="95">
        <v>0</v>
      </c>
      <c r="Q45" s="94">
        <v>0</v>
      </c>
      <c r="R45" s="95">
        <v>0</v>
      </c>
      <c r="S45" s="94">
        <v>0</v>
      </c>
      <c r="T45" s="95">
        <v>0</v>
      </c>
      <c r="U45" s="94">
        <v>3.5034999999999998</v>
      </c>
      <c r="V45" s="95">
        <v>3.2800000000000003E-2</v>
      </c>
      <c r="W45" s="94">
        <v>0</v>
      </c>
      <c r="X45" s="95">
        <v>0</v>
      </c>
      <c r="Y45" s="94">
        <v>0</v>
      </c>
      <c r="Z45" s="95">
        <v>0</v>
      </c>
      <c r="AA45" s="96">
        <f t="shared" si="6"/>
        <v>106.70140000000001</v>
      </c>
      <c r="AB45" s="119">
        <v>1</v>
      </c>
      <c r="AC45" s="97">
        <f t="shared" si="7"/>
        <v>106.70140000000001</v>
      </c>
      <c r="AD45" s="98">
        <f t="shared" si="8"/>
        <v>1</v>
      </c>
      <c r="AE45" s="99">
        <f t="shared" si="9"/>
        <v>0</v>
      </c>
      <c r="AF45" s="100">
        <f t="shared" si="10"/>
        <v>0</v>
      </c>
      <c r="AG45" s="99">
        <f t="shared" si="11"/>
        <v>0</v>
      </c>
      <c r="AH45" s="101">
        <f t="shared" si="12"/>
        <v>0</v>
      </c>
      <c r="AI45" s="120">
        <v>315</v>
      </c>
      <c r="AJ45" s="103">
        <v>66</v>
      </c>
      <c r="AK45" s="104">
        <v>138566</v>
      </c>
      <c r="AL45" s="104">
        <v>10774.3</v>
      </c>
      <c r="AM45" s="105">
        <v>12.860789099987935</v>
      </c>
      <c r="AN45" s="6">
        <v>106.70137</v>
      </c>
      <c r="AO45" s="7">
        <v>17016.0998</v>
      </c>
      <c r="AP45" s="7">
        <v>2096.3765699999999</v>
      </c>
      <c r="AQ45" s="12">
        <f t="shared" si="13"/>
        <v>8.1169099309290598</v>
      </c>
      <c r="AR45" s="57">
        <v>1687.05456</v>
      </c>
      <c r="AS45" s="106">
        <f t="shared" si="14"/>
        <v>1.0000002811585269</v>
      </c>
      <c r="AT45" s="60">
        <v>153.12100000000001</v>
      </c>
      <c r="AU45" s="107">
        <f t="shared" si="29"/>
        <v>153121</v>
      </c>
      <c r="AV45" s="108">
        <f t="shared" si="15"/>
        <v>0.90494445569190374</v>
      </c>
      <c r="AW45" s="109">
        <f t="shared" si="16"/>
        <v>0.11112845266162055</v>
      </c>
      <c r="AX45" s="109">
        <f t="shared" si="17"/>
        <v>-1.6072908353524262E-2</v>
      </c>
      <c r="AY45" s="110">
        <f t="shared" si="18"/>
        <v>1.0160729083535243</v>
      </c>
      <c r="AZ45" s="111">
        <f t="shared" si="19"/>
        <v>155582.0998</v>
      </c>
      <c r="BA45" s="112">
        <f t="shared" si="20"/>
        <v>0.89062945016249229</v>
      </c>
      <c r="BB45" s="113">
        <f t="shared" si="21"/>
        <v>0.10937054983750773</v>
      </c>
      <c r="BC45" s="114">
        <v>39.566299999999998</v>
      </c>
      <c r="BD45" s="115">
        <v>10.825900000000001</v>
      </c>
      <c r="BE45" s="116">
        <f t="shared" si="22"/>
        <v>50.392200000000003</v>
      </c>
      <c r="BF45" s="115">
        <v>56.309199999999997</v>
      </c>
      <c r="BG45" s="121">
        <f t="shared" si="28"/>
        <v>106.70140000000001</v>
      </c>
      <c r="BH45" s="122">
        <f t="shared" si="23"/>
        <v>0.37081331641384269</v>
      </c>
      <c r="BI45" s="117">
        <f t="shared" si="24"/>
        <v>0.10145977466087605</v>
      </c>
      <c r="BJ45" s="117">
        <f t="shared" si="25"/>
        <v>0.47227309107471876</v>
      </c>
      <c r="BK45" s="117">
        <f t="shared" si="26"/>
        <v>0.52772690892528118</v>
      </c>
      <c r="BL45" s="118">
        <f t="shared" si="27"/>
        <v>1</v>
      </c>
    </row>
    <row r="46" spans="1:64" x14ac:dyDescent="0.2">
      <c r="A46" s="64"/>
      <c r="B46" s="199" t="s">
        <v>100</v>
      </c>
      <c r="C46" s="190">
        <v>0</v>
      </c>
      <c r="D46" s="95">
        <v>0</v>
      </c>
      <c r="E46" s="94">
        <v>60.571800000000003</v>
      </c>
      <c r="F46" s="95">
        <v>0.15529999999999999</v>
      </c>
      <c r="G46" s="94">
        <v>63.573</v>
      </c>
      <c r="H46" s="95">
        <v>0.16300000000000001</v>
      </c>
      <c r="I46" s="94">
        <v>97.163799999999995</v>
      </c>
      <c r="J46" s="95">
        <v>0.24909999999999999</v>
      </c>
      <c r="K46" s="94">
        <v>28.743400000000001</v>
      </c>
      <c r="L46" s="95">
        <v>7.3700000000000002E-2</v>
      </c>
      <c r="M46" s="94">
        <v>7.9470999999999998</v>
      </c>
      <c r="N46" s="95">
        <v>2.0400000000000001E-2</v>
      </c>
      <c r="O46" s="94">
        <v>9.7637999999999998</v>
      </c>
      <c r="P46" s="95">
        <v>2.5000000000000001E-2</v>
      </c>
      <c r="Q46" s="94">
        <v>23.517399999999999</v>
      </c>
      <c r="R46" s="95">
        <v>6.0299999999999999E-2</v>
      </c>
      <c r="S46" s="94">
        <v>0</v>
      </c>
      <c r="T46" s="95">
        <v>0</v>
      </c>
      <c r="U46" s="94">
        <v>50.411099999999998</v>
      </c>
      <c r="V46" s="95">
        <v>0.1293</v>
      </c>
      <c r="W46" s="94">
        <v>46.909500000000001</v>
      </c>
      <c r="X46" s="95">
        <v>0.1203</v>
      </c>
      <c r="Y46" s="94">
        <v>1.4135</v>
      </c>
      <c r="Z46" s="95">
        <v>3.5999999999999999E-3</v>
      </c>
      <c r="AA46" s="96">
        <f t="shared" si="6"/>
        <v>390.01439999999997</v>
      </c>
      <c r="AB46" s="119">
        <v>1</v>
      </c>
      <c r="AC46" s="97">
        <f t="shared" si="7"/>
        <v>318.17399999999998</v>
      </c>
      <c r="AD46" s="98">
        <f t="shared" si="8"/>
        <v>0.81580064736071289</v>
      </c>
      <c r="AE46" s="99">
        <f t="shared" si="9"/>
        <v>71.840400000000002</v>
      </c>
      <c r="AF46" s="100">
        <f t="shared" si="10"/>
        <v>0.18419935263928719</v>
      </c>
      <c r="AG46" s="99">
        <f t="shared" si="11"/>
        <v>1.4135</v>
      </c>
      <c r="AH46" s="101">
        <f t="shared" si="12"/>
        <v>3.6242251568147231E-3</v>
      </c>
      <c r="AI46" s="102">
        <v>1267</v>
      </c>
      <c r="AJ46" s="103">
        <v>101</v>
      </c>
      <c r="AK46" s="104">
        <v>780878</v>
      </c>
      <c r="AL46" s="104">
        <v>55488.770000000004</v>
      </c>
      <c r="AM46" s="105">
        <v>14.072721381281292</v>
      </c>
      <c r="AN46" s="6">
        <v>390.01443</v>
      </c>
      <c r="AO46" s="7">
        <v>59641.7549</v>
      </c>
      <c r="AP46" s="7">
        <v>6577.8095199999998</v>
      </c>
      <c r="AQ46" s="12">
        <f t="shared" si="13"/>
        <v>9.0671149291656601</v>
      </c>
      <c r="AR46" s="57">
        <v>3551.9813199999999</v>
      </c>
      <c r="AS46" s="106">
        <f t="shared" si="14"/>
        <v>0.99999992307976904</v>
      </c>
      <c r="AT46" s="60">
        <v>824.13800000000003</v>
      </c>
      <c r="AU46" s="107">
        <f t="shared" si="29"/>
        <v>824138</v>
      </c>
      <c r="AV46" s="108">
        <f t="shared" si="15"/>
        <v>0.94750879100344843</v>
      </c>
      <c r="AW46" s="109">
        <f t="shared" si="16"/>
        <v>7.2368650517267735E-2</v>
      </c>
      <c r="AX46" s="109">
        <f t="shared" si="17"/>
        <v>-1.9877441520716133E-2</v>
      </c>
      <c r="AY46" s="110">
        <f t="shared" si="18"/>
        <v>1.0198774415207161</v>
      </c>
      <c r="AZ46" s="111">
        <f t="shared" si="19"/>
        <v>840519.75490000006</v>
      </c>
      <c r="BA46" s="112">
        <f t="shared" si="20"/>
        <v>0.92904181662322038</v>
      </c>
      <c r="BB46" s="113">
        <f t="shared" si="21"/>
        <v>7.0958183376779546E-2</v>
      </c>
      <c r="BC46" s="114">
        <v>31.843599999999999</v>
      </c>
      <c r="BD46" s="115">
        <v>257.51479999999998</v>
      </c>
      <c r="BE46" s="116">
        <f t="shared" si="22"/>
        <v>289.35839999999996</v>
      </c>
      <c r="BF46" s="115">
        <v>100.65600000000001</v>
      </c>
      <c r="BG46" s="121">
        <f t="shared" si="28"/>
        <v>390.01439999999997</v>
      </c>
      <c r="BH46" s="122">
        <f t="shared" si="23"/>
        <v>8.1647241742868984E-2</v>
      </c>
      <c r="BI46" s="117">
        <f t="shared" si="24"/>
        <v>0.66026997977510571</v>
      </c>
      <c r="BJ46" s="117">
        <f t="shared" si="25"/>
        <v>0.74191722151797468</v>
      </c>
      <c r="BK46" s="117">
        <f t="shared" si="26"/>
        <v>0.25808277848202532</v>
      </c>
      <c r="BL46" s="118">
        <f t="shared" si="27"/>
        <v>1</v>
      </c>
    </row>
    <row r="47" spans="1:64" x14ac:dyDescent="0.2">
      <c r="A47" s="64"/>
      <c r="B47" s="199" t="s">
        <v>101</v>
      </c>
      <c r="C47" s="190">
        <v>0</v>
      </c>
      <c r="D47" s="95">
        <v>0</v>
      </c>
      <c r="E47" s="94">
        <v>13.311999999999999</v>
      </c>
      <c r="F47" s="95">
        <v>0.15679999999999999</v>
      </c>
      <c r="G47" s="94">
        <v>6.9236000000000004</v>
      </c>
      <c r="H47" s="95">
        <v>8.1500000000000003E-2</v>
      </c>
      <c r="I47" s="94">
        <v>0</v>
      </c>
      <c r="J47" s="95">
        <v>0</v>
      </c>
      <c r="K47" s="94">
        <v>1.1364000000000001</v>
      </c>
      <c r="L47" s="95">
        <v>1.34E-2</v>
      </c>
      <c r="M47" s="94">
        <v>0</v>
      </c>
      <c r="N47" s="95">
        <v>0</v>
      </c>
      <c r="O47" s="94">
        <v>0</v>
      </c>
      <c r="P47" s="95">
        <v>0</v>
      </c>
      <c r="Q47" s="94">
        <v>6.8251999999999997</v>
      </c>
      <c r="R47" s="95">
        <v>8.0399999999999999E-2</v>
      </c>
      <c r="S47" s="94">
        <v>25.0884</v>
      </c>
      <c r="T47" s="95">
        <v>0.29549999999999998</v>
      </c>
      <c r="U47" s="94">
        <v>11.7035</v>
      </c>
      <c r="V47" s="95">
        <v>0.13780000000000001</v>
      </c>
      <c r="W47" s="94">
        <v>4.1307</v>
      </c>
      <c r="X47" s="95">
        <v>4.8599999999999997E-2</v>
      </c>
      <c r="Y47" s="94">
        <v>15.790100000000001</v>
      </c>
      <c r="Z47" s="95">
        <v>0.186</v>
      </c>
      <c r="AA47" s="96">
        <f t="shared" si="6"/>
        <v>84.909900000000007</v>
      </c>
      <c r="AB47" s="119">
        <v>1</v>
      </c>
      <c r="AC47" s="97">
        <f t="shared" si="7"/>
        <v>33.075499999999998</v>
      </c>
      <c r="AD47" s="98">
        <f t="shared" si="8"/>
        <v>0.3895364380360829</v>
      </c>
      <c r="AE47" s="99">
        <f t="shared" si="9"/>
        <v>51.834400000000002</v>
      </c>
      <c r="AF47" s="100">
        <f t="shared" si="10"/>
        <v>0.61046356196391705</v>
      </c>
      <c r="AG47" s="99">
        <f t="shared" si="11"/>
        <v>40.878500000000003</v>
      </c>
      <c r="AH47" s="101">
        <f t="shared" si="12"/>
        <v>0.48143384929201422</v>
      </c>
      <c r="AI47" s="120">
        <v>721</v>
      </c>
      <c r="AJ47" s="103">
        <v>166</v>
      </c>
      <c r="AK47" s="104">
        <v>141307</v>
      </c>
      <c r="AL47" s="104">
        <v>10216.25</v>
      </c>
      <c r="AM47" s="105">
        <v>13.831591826746605</v>
      </c>
      <c r="AN47" s="6">
        <v>84.90992</v>
      </c>
      <c r="AO47" s="7">
        <v>13976.9406</v>
      </c>
      <c r="AP47" s="7">
        <v>1260.08898</v>
      </c>
      <c r="AQ47" s="12">
        <f t="shared" si="13"/>
        <v>11.092026691638871</v>
      </c>
      <c r="AR47" s="57">
        <v>727.18542000000002</v>
      </c>
      <c r="AS47" s="106">
        <f t="shared" si="14"/>
        <v>0.99999976445626149</v>
      </c>
      <c r="AT47" s="60">
        <v>159.25700000000001</v>
      </c>
      <c r="AU47" s="107">
        <f t="shared" si="29"/>
        <v>159257</v>
      </c>
      <c r="AV47" s="108">
        <f t="shared" si="15"/>
        <v>0.88728909875233108</v>
      </c>
      <c r="AW47" s="109">
        <f t="shared" si="16"/>
        <v>8.7763430178893237E-2</v>
      </c>
      <c r="AX47" s="109">
        <f t="shared" si="17"/>
        <v>2.4947471068775706E-2</v>
      </c>
      <c r="AY47" s="110">
        <f t="shared" si="18"/>
        <v>0.97505252893122429</v>
      </c>
      <c r="AZ47" s="111">
        <f t="shared" si="19"/>
        <v>155283.9406</v>
      </c>
      <c r="BA47" s="112">
        <f t="shared" si="20"/>
        <v>0.9099910747628206</v>
      </c>
      <c r="BB47" s="113">
        <f t="shared" si="21"/>
        <v>9.0008925237179349E-2</v>
      </c>
      <c r="BC47" s="114">
        <v>29.5854</v>
      </c>
      <c r="BD47" s="115">
        <v>42.674500000000002</v>
      </c>
      <c r="BE47" s="116">
        <f t="shared" si="22"/>
        <v>72.259900000000002</v>
      </c>
      <c r="BF47" s="115">
        <v>12.65</v>
      </c>
      <c r="BG47" s="121">
        <f t="shared" si="28"/>
        <v>84.909900000000007</v>
      </c>
      <c r="BH47" s="122">
        <f t="shared" si="23"/>
        <v>0.34843286825211189</v>
      </c>
      <c r="BI47" s="117">
        <f t="shared" si="24"/>
        <v>0.50258568199938991</v>
      </c>
      <c r="BJ47" s="117">
        <f t="shared" si="25"/>
        <v>0.85101855025150186</v>
      </c>
      <c r="BK47" s="117">
        <f t="shared" si="26"/>
        <v>0.14898144974849811</v>
      </c>
      <c r="BL47" s="118">
        <f t="shared" si="27"/>
        <v>1</v>
      </c>
    </row>
    <row r="48" spans="1:64" x14ac:dyDescent="0.2">
      <c r="A48" s="64"/>
      <c r="B48" s="199" t="s">
        <v>102</v>
      </c>
      <c r="C48" s="190">
        <v>126.9435</v>
      </c>
      <c r="D48" s="95">
        <v>0.23499999999999999</v>
      </c>
      <c r="E48" s="94">
        <v>83.355099999999993</v>
      </c>
      <c r="F48" s="95">
        <v>0.15429999999999999</v>
      </c>
      <c r="G48" s="94">
        <v>43.764800000000001</v>
      </c>
      <c r="H48" s="95">
        <v>8.1000000000000003E-2</v>
      </c>
      <c r="I48" s="94">
        <v>90.991299999999995</v>
      </c>
      <c r="J48" s="95">
        <v>0.16850000000000001</v>
      </c>
      <c r="K48" s="94">
        <v>5.2065999999999999</v>
      </c>
      <c r="L48" s="95">
        <v>9.5999999999999992E-3</v>
      </c>
      <c r="M48" s="94">
        <v>4.2054</v>
      </c>
      <c r="N48" s="95">
        <v>7.7999999999999996E-3</v>
      </c>
      <c r="O48" s="94">
        <v>15.058299999999999</v>
      </c>
      <c r="P48" s="95">
        <v>2.7900000000000001E-2</v>
      </c>
      <c r="Q48" s="94">
        <v>34.027799999999999</v>
      </c>
      <c r="R48" s="95">
        <v>6.3E-2</v>
      </c>
      <c r="S48" s="94">
        <v>10.279400000000001</v>
      </c>
      <c r="T48" s="95">
        <v>1.9E-2</v>
      </c>
      <c r="U48" s="94">
        <v>77.963700000000003</v>
      </c>
      <c r="V48" s="95">
        <v>0.1444</v>
      </c>
      <c r="W48" s="94">
        <v>41.301499999999997</v>
      </c>
      <c r="X48" s="95">
        <v>7.6499999999999999E-2</v>
      </c>
      <c r="Y48" s="94">
        <v>6.9888000000000003</v>
      </c>
      <c r="Z48" s="95">
        <v>1.29E-2</v>
      </c>
      <c r="AA48" s="96">
        <f t="shared" si="6"/>
        <v>540.08619999999996</v>
      </c>
      <c r="AB48" s="119">
        <v>1</v>
      </c>
      <c r="AC48" s="97">
        <f t="shared" si="7"/>
        <v>447.48869999999999</v>
      </c>
      <c r="AD48" s="98">
        <f t="shared" si="8"/>
        <v>0.82855051656568901</v>
      </c>
      <c r="AE48" s="99">
        <f t="shared" si="9"/>
        <v>92.597499999999997</v>
      </c>
      <c r="AF48" s="100">
        <f t="shared" si="10"/>
        <v>0.17144948343431105</v>
      </c>
      <c r="AG48" s="99">
        <f t="shared" si="11"/>
        <v>17.2682</v>
      </c>
      <c r="AH48" s="101">
        <f t="shared" si="12"/>
        <v>3.1973044302927946E-2</v>
      </c>
      <c r="AI48" s="102">
        <v>1906</v>
      </c>
      <c r="AJ48" s="103">
        <v>148</v>
      </c>
      <c r="AK48" s="104">
        <v>996709</v>
      </c>
      <c r="AL48" s="104">
        <v>64747.229999999996</v>
      </c>
      <c r="AM48" s="105">
        <v>15.393847736806658</v>
      </c>
      <c r="AN48" s="6">
        <v>540.08627999999999</v>
      </c>
      <c r="AO48" s="7">
        <v>101900.287</v>
      </c>
      <c r="AP48" s="7">
        <v>10293.326300000001</v>
      </c>
      <c r="AQ48" s="12">
        <f t="shared" si="13"/>
        <v>9.899646045418768</v>
      </c>
      <c r="AR48" s="57">
        <v>8181.4175500000001</v>
      </c>
      <c r="AS48" s="106">
        <f t="shared" si="14"/>
        <v>0.99999985187551876</v>
      </c>
      <c r="AT48" s="60">
        <v>1127.192</v>
      </c>
      <c r="AU48" s="107">
        <f t="shared" si="29"/>
        <v>1127192</v>
      </c>
      <c r="AV48" s="108">
        <f t="shared" si="15"/>
        <v>0.88424066175061566</v>
      </c>
      <c r="AW48" s="109">
        <f t="shared" si="16"/>
        <v>9.0401889828884516E-2</v>
      </c>
      <c r="AX48" s="109">
        <f t="shared" si="17"/>
        <v>2.5357448420499806E-2</v>
      </c>
      <c r="AY48" s="110">
        <f t="shared" si="18"/>
        <v>0.97464255157950019</v>
      </c>
      <c r="AZ48" s="111">
        <f t="shared" si="19"/>
        <v>1098609.287</v>
      </c>
      <c r="BA48" s="112">
        <f t="shared" si="20"/>
        <v>0.90724610814253925</v>
      </c>
      <c r="BB48" s="113">
        <f t="shared" si="21"/>
        <v>9.2753891857460691E-2</v>
      </c>
      <c r="BC48" s="114">
        <v>38.507399999999997</v>
      </c>
      <c r="BD48" s="115">
        <v>353.45830000000001</v>
      </c>
      <c r="BE48" s="116">
        <f t="shared" si="22"/>
        <v>391.96570000000003</v>
      </c>
      <c r="BF48" s="115">
        <v>148.1206</v>
      </c>
      <c r="BG48" s="121">
        <f t="shared" si="28"/>
        <v>540.08630000000005</v>
      </c>
      <c r="BH48" s="122">
        <f t="shared" si="23"/>
        <v>7.1298605426577191E-2</v>
      </c>
      <c r="BI48" s="117">
        <f t="shared" si="24"/>
        <v>0.65444781695073539</v>
      </c>
      <c r="BJ48" s="117">
        <f t="shared" si="25"/>
        <v>0.72574642237731268</v>
      </c>
      <c r="BK48" s="117">
        <f t="shared" si="26"/>
        <v>0.27425357762268732</v>
      </c>
      <c r="BL48" s="118">
        <f t="shared" si="27"/>
        <v>1</v>
      </c>
    </row>
    <row r="49" spans="1:64" x14ac:dyDescent="0.2">
      <c r="A49" s="64"/>
      <c r="B49" s="199" t="s">
        <v>103</v>
      </c>
      <c r="C49" s="190">
        <v>695.10419999999999</v>
      </c>
      <c r="D49" s="95">
        <v>0.40560000000000002</v>
      </c>
      <c r="E49" s="94">
        <v>175.10740000000001</v>
      </c>
      <c r="F49" s="95">
        <v>0.1022</v>
      </c>
      <c r="G49" s="94">
        <v>92.474900000000005</v>
      </c>
      <c r="H49" s="95">
        <v>5.3999999999999999E-2</v>
      </c>
      <c r="I49" s="94">
        <v>405.81909999999999</v>
      </c>
      <c r="J49" s="95">
        <v>0.23680000000000001</v>
      </c>
      <c r="K49" s="94">
        <v>30.764399999999998</v>
      </c>
      <c r="L49" s="95">
        <v>1.7999999999999999E-2</v>
      </c>
      <c r="M49" s="94">
        <v>13.0085</v>
      </c>
      <c r="N49" s="95">
        <v>7.6E-3</v>
      </c>
      <c r="O49" s="94">
        <v>27.944800000000001</v>
      </c>
      <c r="P49" s="95">
        <v>1.6299999999999999E-2</v>
      </c>
      <c r="Q49" s="94">
        <v>58.462499999999999</v>
      </c>
      <c r="R49" s="95">
        <v>3.4099999999999998E-2</v>
      </c>
      <c r="S49" s="94">
        <v>46.219900000000003</v>
      </c>
      <c r="T49" s="95">
        <v>2.7E-2</v>
      </c>
      <c r="U49" s="94">
        <v>145.66399999999999</v>
      </c>
      <c r="V49" s="95">
        <v>8.5000000000000006E-2</v>
      </c>
      <c r="W49" s="94">
        <v>19.2331</v>
      </c>
      <c r="X49" s="95">
        <v>1.12E-2</v>
      </c>
      <c r="Y49" s="94">
        <v>4.0370999999999997</v>
      </c>
      <c r="Z49" s="95">
        <v>2.3999999999999998E-3</v>
      </c>
      <c r="AA49" s="96">
        <f t="shared" si="6"/>
        <v>1713.8398999999999</v>
      </c>
      <c r="AB49" s="119">
        <v>1</v>
      </c>
      <c r="AC49" s="97">
        <f t="shared" si="7"/>
        <v>1585.8872999999999</v>
      </c>
      <c r="AD49" s="98">
        <f t="shared" si="8"/>
        <v>0.92534156778588239</v>
      </c>
      <c r="AE49" s="99">
        <f t="shared" si="9"/>
        <v>127.9526</v>
      </c>
      <c r="AF49" s="100">
        <f t="shared" si="10"/>
        <v>7.4658432214117554E-2</v>
      </c>
      <c r="AG49" s="99">
        <f t="shared" si="11"/>
        <v>50.257000000000005</v>
      </c>
      <c r="AH49" s="101">
        <f t="shared" si="12"/>
        <v>2.9324209338340183E-2</v>
      </c>
      <c r="AI49" s="102">
        <v>9105</v>
      </c>
      <c r="AJ49" s="104">
        <v>1232</v>
      </c>
      <c r="AK49" s="104">
        <v>5428613</v>
      </c>
      <c r="AL49" s="104">
        <v>371002.28</v>
      </c>
      <c r="AM49" s="105">
        <v>14.632290130400275</v>
      </c>
      <c r="AN49" s="6">
        <v>1713.84005</v>
      </c>
      <c r="AO49" s="7">
        <v>257558.92300000001</v>
      </c>
      <c r="AP49" s="7">
        <v>29447.785599999999</v>
      </c>
      <c r="AQ49" s="12">
        <f t="shared" si="13"/>
        <v>8.7462917075842892</v>
      </c>
      <c r="AR49" s="57">
        <v>16899.9097</v>
      </c>
      <c r="AS49" s="106">
        <f t="shared" si="14"/>
        <v>0.99999991247724662</v>
      </c>
      <c r="AT49" s="60">
        <v>5510.7049999999999</v>
      </c>
      <c r="AU49" s="107">
        <f t="shared" si="29"/>
        <v>5510705</v>
      </c>
      <c r="AV49" s="108">
        <f t="shared" si="15"/>
        <v>0.98510317645382939</v>
      </c>
      <c r="AW49" s="109">
        <f t="shared" si="16"/>
        <v>4.6737926091126272E-2</v>
      </c>
      <c r="AX49" s="109">
        <f t="shared" si="17"/>
        <v>-3.1841102544955646E-2</v>
      </c>
      <c r="AY49" s="110">
        <f t="shared" si="18"/>
        <v>1.0318411025449556</v>
      </c>
      <c r="AZ49" s="111">
        <f t="shared" si="19"/>
        <v>5686171.9230000004</v>
      </c>
      <c r="BA49" s="112">
        <f t="shared" si="20"/>
        <v>0.9547043377358676</v>
      </c>
      <c r="BB49" s="113">
        <f t="shared" si="21"/>
        <v>4.5295662264132355E-2</v>
      </c>
      <c r="BC49" s="114">
        <v>256.96839999999997</v>
      </c>
      <c r="BD49" s="115">
        <v>841.68610000000001</v>
      </c>
      <c r="BE49" s="116">
        <f t="shared" si="22"/>
        <v>1098.6545000000001</v>
      </c>
      <c r="BF49" s="115">
        <v>615.18550000000005</v>
      </c>
      <c r="BG49" s="121">
        <f t="shared" si="28"/>
        <v>1713.8400000000001</v>
      </c>
      <c r="BH49" s="122">
        <f t="shared" si="23"/>
        <v>0.14993721700975585</v>
      </c>
      <c r="BI49" s="117">
        <f t="shared" si="24"/>
        <v>0.49111124725762029</v>
      </c>
      <c r="BJ49" s="117">
        <f t="shared" si="25"/>
        <v>0.64104846426737616</v>
      </c>
      <c r="BK49" s="117">
        <f t="shared" si="26"/>
        <v>0.35895153573262384</v>
      </c>
      <c r="BL49" s="118">
        <f t="shared" si="27"/>
        <v>1</v>
      </c>
    </row>
    <row r="50" spans="1:64" x14ac:dyDescent="0.2">
      <c r="A50" s="64"/>
      <c r="B50" s="199" t="s">
        <v>104</v>
      </c>
      <c r="C50" s="190">
        <v>0</v>
      </c>
      <c r="D50" s="95">
        <v>0</v>
      </c>
      <c r="E50" s="94">
        <v>26.5168</v>
      </c>
      <c r="F50" s="95">
        <v>0.1704</v>
      </c>
      <c r="G50" s="94">
        <v>13.5693</v>
      </c>
      <c r="H50" s="95">
        <v>8.72E-2</v>
      </c>
      <c r="I50" s="94">
        <v>81.066299999999998</v>
      </c>
      <c r="J50" s="95">
        <v>0.52100000000000002</v>
      </c>
      <c r="K50" s="94">
        <v>0</v>
      </c>
      <c r="L50" s="95">
        <v>0</v>
      </c>
      <c r="M50" s="94">
        <v>0</v>
      </c>
      <c r="N50" s="95">
        <v>0</v>
      </c>
      <c r="O50" s="94">
        <v>1.325</v>
      </c>
      <c r="P50" s="95">
        <v>8.5000000000000006E-3</v>
      </c>
      <c r="Q50" s="94">
        <v>2.3191000000000002</v>
      </c>
      <c r="R50" s="95">
        <v>1.49E-2</v>
      </c>
      <c r="S50" s="94">
        <v>5.1401000000000003</v>
      </c>
      <c r="T50" s="95">
        <v>3.3000000000000002E-2</v>
      </c>
      <c r="U50" s="94">
        <v>17.507999999999999</v>
      </c>
      <c r="V50" s="95">
        <v>0.1125</v>
      </c>
      <c r="W50" s="94">
        <v>4.4721000000000002</v>
      </c>
      <c r="X50" s="95">
        <v>2.87E-2</v>
      </c>
      <c r="Y50" s="94">
        <v>3.6829000000000001</v>
      </c>
      <c r="Z50" s="95">
        <v>2.3699999999999999E-2</v>
      </c>
      <c r="AA50" s="96">
        <f t="shared" si="6"/>
        <v>155.59960000000001</v>
      </c>
      <c r="AB50" s="119">
        <v>1</v>
      </c>
      <c r="AC50" s="97">
        <f t="shared" si="7"/>
        <v>139.9854</v>
      </c>
      <c r="AD50" s="98">
        <f t="shared" si="8"/>
        <v>0.89965141298563744</v>
      </c>
      <c r="AE50" s="99">
        <f t="shared" si="9"/>
        <v>15.6142</v>
      </c>
      <c r="AF50" s="100">
        <f t="shared" si="10"/>
        <v>0.1003485870143625</v>
      </c>
      <c r="AG50" s="99">
        <f t="shared" si="11"/>
        <v>8.8230000000000004</v>
      </c>
      <c r="AH50" s="101">
        <f t="shared" si="12"/>
        <v>5.6703230599564523E-2</v>
      </c>
      <c r="AI50" s="102">
        <v>1106</v>
      </c>
      <c r="AJ50" s="103">
        <v>162</v>
      </c>
      <c r="AK50" s="104">
        <v>690934</v>
      </c>
      <c r="AL50" s="104">
        <v>30860.44</v>
      </c>
      <c r="AM50" s="105">
        <v>22.388987324872879</v>
      </c>
      <c r="AN50" s="6">
        <v>155.59950000000001</v>
      </c>
      <c r="AO50" s="7">
        <v>15768.8364</v>
      </c>
      <c r="AP50" s="7">
        <v>1760.00685</v>
      </c>
      <c r="AQ50" s="12">
        <f t="shared" si="13"/>
        <v>8.9595312654607007</v>
      </c>
      <c r="AR50" s="57">
        <v>1054.72507</v>
      </c>
      <c r="AS50" s="106">
        <f t="shared" si="14"/>
        <v>1.000000642675587</v>
      </c>
      <c r="AT50" s="60">
        <v>701.11</v>
      </c>
      <c r="AU50" s="107">
        <f t="shared" si="29"/>
        <v>701110</v>
      </c>
      <c r="AV50" s="108">
        <f t="shared" si="15"/>
        <v>0.98548587240233343</v>
      </c>
      <c r="AW50" s="109">
        <f t="shared" si="16"/>
        <v>2.2491244455221007E-2</v>
      </c>
      <c r="AX50" s="109">
        <f t="shared" si="17"/>
        <v>-7.9771168575544227E-3</v>
      </c>
      <c r="AY50" s="110">
        <f t="shared" si="18"/>
        <v>1.0079771168575544</v>
      </c>
      <c r="AZ50" s="111">
        <f t="shared" si="19"/>
        <v>706702.83640000003</v>
      </c>
      <c r="BA50" s="112">
        <f t="shared" si="20"/>
        <v>0.97768675094000224</v>
      </c>
      <c r="BB50" s="113">
        <f t="shared" si="21"/>
        <v>2.2313249059997688E-2</v>
      </c>
      <c r="BC50" s="114">
        <v>15.301500000000001</v>
      </c>
      <c r="BD50" s="115">
        <v>29.835599999999999</v>
      </c>
      <c r="BE50" s="116">
        <f t="shared" si="22"/>
        <v>45.137100000000004</v>
      </c>
      <c r="BF50" s="115">
        <v>110.4624</v>
      </c>
      <c r="BG50" s="121">
        <f t="shared" si="28"/>
        <v>155.59950000000001</v>
      </c>
      <c r="BH50" s="122">
        <f t="shared" si="23"/>
        <v>9.8339004945388636E-2</v>
      </c>
      <c r="BI50" s="117">
        <f t="shared" si="24"/>
        <v>0.19174611743611</v>
      </c>
      <c r="BJ50" s="117">
        <f t="shared" si="25"/>
        <v>0.29008512238149869</v>
      </c>
      <c r="BK50" s="117">
        <f t="shared" si="26"/>
        <v>0.70991487761850136</v>
      </c>
      <c r="BL50" s="118">
        <f t="shared" si="27"/>
        <v>1</v>
      </c>
    </row>
    <row r="51" spans="1:64" x14ac:dyDescent="0.2">
      <c r="A51" s="64"/>
      <c r="B51" s="199" t="s">
        <v>105</v>
      </c>
      <c r="C51" s="190">
        <v>0</v>
      </c>
      <c r="D51" s="95">
        <v>0</v>
      </c>
      <c r="E51" s="94">
        <v>0</v>
      </c>
      <c r="F51" s="95">
        <v>0</v>
      </c>
      <c r="G51" s="94">
        <v>11.651999999999999</v>
      </c>
      <c r="H51" s="95">
        <v>9.6500000000000002E-2</v>
      </c>
      <c r="I51" s="94">
        <v>0</v>
      </c>
      <c r="J51" s="95">
        <v>0</v>
      </c>
      <c r="K51" s="94">
        <v>7.4711999999999996</v>
      </c>
      <c r="L51" s="95">
        <v>6.1899999999999997E-2</v>
      </c>
      <c r="M51" s="94">
        <v>0</v>
      </c>
      <c r="N51" s="95">
        <v>0</v>
      </c>
      <c r="O51" s="94">
        <v>1.4981</v>
      </c>
      <c r="P51" s="95">
        <v>1.24E-2</v>
      </c>
      <c r="Q51" s="94">
        <v>20.290400000000002</v>
      </c>
      <c r="R51" s="95">
        <v>0.16800000000000001</v>
      </c>
      <c r="S51" s="94">
        <v>9.9677000000000007</v>
      </c>
      <c r="T51" s="95">
        <v>8.2500000000000004E-2</v>
      </c>
      <c r="U51" s="94">
        <v>23.741199999999999</v>
      </c>
      <c r="V51" s="95">
        <v>0.1966</v>
      </c>
      <c r="W51" s="94">
        <v>34.291899999999998</v>
      </c>
      <c r="X51" s="95">
        <v>0.28399999999999997</v>
      </c>
      <c r="Y51" s="94">
        <v>11.838800000000001</v>
      </c>
      <c r="Z51" s="95">
        <v>9.8000000000000004E-2</v>
      </c>
      <c r="AA51" s="96">
        <f t="shared" si="6"/>
        <v>120.7513</v>
      </c>
      <c r="AB51" s="119">
        <v>1</v>
      </c>
      <c r="AC51" s="97">
        <f t="shared" si="7"/>
        <v>44.362499999999997</v>
      </c>
      <c r="AD51" s="98">
        <f t="shared" si="8"/>
        <v>0.36738734903889231</v>
      </c>
      <c r="AE51" s="99">
        <f t="shared" si="9"/>
        <v>76.388800000000003</v>
      </c>
      <c r="AF51" s="100">
        <f t="shared" si="10"/>
        <v>0.63261265096110764</v>
      </c>
      <c r="AG51" s="99">
        <f t="shared" si="11"/>
        <v>21.8065</v>
      </c>
      <c r="AH51" s="101">
        <f t="shared" si="12"/>
        <v>0.18059018826298351</v>
      </c>
      <c r="AI51" s="120">
        <v>305</v>
      </c>
      <c r="AJ51" s="103">
        <v>184</v>
      </c>
      <c r="AK51" s="104">
        <v>83975</v>
      </c>
      <c r="AL51" s="104">
        <v>7965.36</v>
      </c>
      <c r="AM51" s="105">
        <v>10.542524129480652</v>
      </c>
      <c r="AN51" s="6">
        <v>120.75132000000001</v>
      </c>
      <c r="AO51" s="7">
        <v>8406.5003699999997</v>
      </c>
      <c r="AP51" s="7">
        <v>1304.55988</v>
      </c>
      <c r="AQ51" s="12">
        <f t="shared" si="13"/>
        <v>6.4439359962533871</v>
      </c>
      <c r="AR51" s="57">
        <v>880.88088000000005</v>
      </c>
      <c r="AS51" s="106">
        <f t="shared" si="14"/>
        <v>0.99999983437034057</v>
      </c>
      <c r="AT51" s="60">
        <v>87.878</v>
      </c>
      <c r="AU51" s="107">
        <f t="shared" si="29"/>
        <v>87878</v>
      </c>
      <c r="AV51" s="108">
        <f t="shared" si="15"/>
        <v>0.95558615353103171</v>
      </c>
      <c r="AW51" s="109">
        <f t="shared" si="16"/>
        <v>9.5661034274790044E-2</v>
      </c>
      <c r="AX51" s="109">
        <f t="shared" si="17"/>
        <v>-5.1247187805821826E-2</v>
      </c>
      <c r="AY51" s="110">
        <f t="shared" si="18"/>
        <v>1.0512471878058218</v>
      </c>
      <c r="AZ51" s="111">
        <f t="shared" si="19"/>
        <v>92381.500369999994</v>
      </c>
      <c r="BA51" s="112">
        <f t="shared" si="20"/>
        <v>0.90900233990213564</v>
      </c>
      <c r="BB51" s="113">
        <f t="shared" si="21"/>
        <v>9.0997660097864461E-2</v>
      </c>
      <c r="BC51" s="114">
        <v>13.1259</v>
      </c>
      <c r="BD51" s="115">
        <v>18.0609</v>
      </c>
      <c r="BE51" s="116">
        <f t="shared" si="22"/>
        <v>31.186799999999998</v>
      </c>
      <c r="BF51" s="115">
        <v>89.564499999999995</v>
      </c>
      <c r="BG51" s="121">
        <f t="shared" si="28"/>
        <v>120.75129999999999</v>
      </c>
      <c r="BH51" s="122">
        <f t="shared" si="23"/>
        <v>0.10870193530007545</v>
      </c>
      <c r="BI51" s="117">
        <f t="shared" si="24"/>
        <v>0.14957106051860314</v>
      </c>
      <c r="BJ51" s="117">
        <f t="shared" si="25"/>
        <v>0.25827299581867857</v>
      </c>
      <c r="BK51" s="117">
        <f t="shared" si="26"/>
        <v>0.74172700418132154</v>
      </c>
      <c r="BL51" s="118">
        <f t="shared" si="27"/>
        <v>1</v>
      </c>
    </row>
    <row r="52" spans="1:64" x14ac:dyDescent="0.2">
      <c r="A52" s="64"/>
      <c r="B52" s="199" t="s">
        <v>106</v>
      </c>
      <c r="C52" s="190">
        <v>44.235700000000001</v>
      </c>
      <c r="D52" s="95">
        <v>4.6800000000000001E-2</v>
      </c>
      <c r="E52" s="94">
        <v>140.37280000000001</v>
      </c>
      <c r="F52" s="95">
        <v>0.1484</v>
      </c>
      <c r="G52" s="94">
        <v>60.664200000000001</v>
      </c>
      <c r="H52" s="95">
        <v>6.4100000000000004E-2</v>
      </c>
      <c r="I52" s="94">
        <v>340.98070000000001</v>
      </c>
      <c r="J52" s="95">
        <v>0.36049999999999999</v>
      </c>
      <c r="K52" s="94">
        <v>28.889800000000001</v>
      </c>
      <c r="L52" s="95">
        <v>3.0499999999999999E-2</v>
      </c>
      <c r="M52" s="94">
        <v>34.673099999999998</v>
      </c>
      <c r="N52" s="95">
        <v>3.6700000000000003E-2</v>
      </c>
      <c r="O52" s="94">
        <v>17.415800000000001</v>
      </c>
      <c r="P52" s="95">
        <v>1.84E-2</v>
      </c>
      <c r="Q52" s="94">
        <v>84.87</v>
      </c>
      <c r="R52" s="95">
        <v>8.9700000000000002E-2</v>
      </c>
      <c r="S52" s="94">
        <v>5.0933999999999999</v>
      </c>
      <c r="T52" s="95">
        <v>5.4000000000000003E-3</v>
      </c>
      <c r="U52" s="94">
        <v>107.0291</v>
      </c>
      <c r="V52" s="95">
        <v>0.1132</v>
      </c>
      <c r="W52" s="94">
        <v>73.546099999999996</v>
      </c>
      <c r="X52" s="95">
        <v>7.7799999999999994E-2</v>
      </c>
      <c r="Y52" s="94">
        <v>7.9805000000000001</v>
      </c>
      <c r="Z52" s="95">
        <v>8.3999999999999995E-3</v>
      </c>
      <c r="AA52" s="96">
        <f t="shared" si="6"/>
        <v>945.75120000000004</v>
      </c>
      <c r="AB52" s="119">
        <v>1</v>
      </c>
      <c r="AC52" s="97">
        <f t="shared" si="7"/>
        <v>774.26120000000003</v>
      </c>
      <c r="AD52" s="98">
        <f t="shared" si="8"/>
        <v>0.81867324091156324</v>
      </c>
      <c r="AE52" s="99">
        <f t="shared" si="9"/>
        <v>171.49</v>
      </c>
      <c r="AF52" s="100">
        <f t="shared" si="10"/>
        <v>0.18132675908843679</v>
      </c>
      <c r="AG52" s="99">
        <f t="shared" si="11"/>
        <v>13.0739</v>
      </c>
      <c r="AH52" s="101">
        <f t="shared" si="12"/>
        <v>1.3823825970297472E-2</v>
      </c>
      <c r="AI52" s="102">
        <v>2129</v>
      </c>
      <c r="AJ52" s="103">
        <v>214</v>
      </c>
      <c r="AK52" s="104">
        <v>1249815</v>
      </c>
      <c r="AL52" s="104">
        <v>86917</v>
      </c>
      <c r="AM52" s="105">
        <v>14.379407940909143</v>
      </c>
      <c r="AN52" s="6">
        <v>945.75121000000001</v>
      </c>
      <c r="AO52" s="7">
        <v>118442.303</v>
      </c>
      <c r="AP52" s="7">
        <v>14534.7652</v>
      </c>
      <c r="AQ52" s="12">
        <f t="shared" si="13"/>
        <v>8.1488968944610125</v>
      </c>
      <c r="AR52" s="57">
        <v>7290.6332199999997</v>
      </c>
      <c r="AS52" s="106">
        <f t="shared" si="14"/>
        <v>0.99999998942639479</v>
      </c>
      <c r="AT52" s="60">
        <v>1382.242</v>
      </c>
      <c r="AU52" s="107">
        <f t="shared" si="29"/>
        <v>1382242</v>
      </c>
      <c r="AV52" s="108">
        <f t="shared" si="15"/>
        <v>0.90419405574421841</v>
      </c>
      <c r="AW52" s="109">
        <f t="shared" si="16"/>
        <v>8.5688542961362774E-2</v>
      </c>
      <c r="AX52" s="109">
        <f t="shared" si="17"/>
        <v>1.0117401294418849E-2</v>
      </c>
      <c r="AY52" s="110">
        <f t="shared" si="18"/>
        <v>0.98988259870558115</v>
      </c>
      <c r="AZ52" s="111">
        <f t="shared" si="19"/>
        <v>1368257.3030000001</v>
      </c>
      <c r="BA52" s="112">
        <f t="shared" si="20"/>
        <v>0.91343565077978606</v>
      </c>
      <c r="BB52" s="113">
        <f t="shared" si="21"/>
        <v>8.6564349220213874E-2</v>
      </c>
      <c r="BC52" s="114">
        <v>92.384600000000006</v>
      </c>
      <c r="BD52" s="115">
        <v>418.87090000000001</v>
      </c>
      <c r="BE52" s="116">
        <f t="shared" si="22"/>
        <v>511.25549999999998</v>
      </c>
      <c r="BF52" s="115">
        <v>434.4957</v>
      </c>
      <c r="BG52" s="121">
        <f t="shared" si="28"/>
        <v>945.75119999999993</v>
      </c>
      <c r="BH52" s="122">
        <f t="shared" si="23"/>
        <v>9.768383058884833E-2</v>
      </c>
      <c r="BI52" s="117">
        <f t="shared" si="24"/>
        <v>0.4428975612190606</v>
      </c>
      <c r="BJ52" s="117">
        <f t="shared" si="25"/>
        <v>0.54058139180790887</v>
      </c>
      <c r="BK52" s="117">
        <f t="shared" si="26"/>
        <v>0.45941860819209113</v>
      </c>
      <c r="BL52" s="118">
        <f t="shared" si="27"/>
        <v>1</v>
      </c>
    </row>
    <row r="53" spans="1:64" x14ac:dyDescent="0.2">
      <c r="A53" s="64"/>
      <c r="B53" s="199" t="s">
        <v>107</v>
      </c>
      <c r="C53" s="190">
        <v>96.326999999999998</v>
      </c>
      <c r="D53" s="95">
        <v>0.1517</v>
      </c>
      <c r="E53" s="94">
        <v>131.792</v>
      </c>
      <c r="F53" s="95">
        <v>0.20749999999999999</v>
      </c>
      <c r="G53" s="94">
        <v>89.615300000000005</v>
      </c>
      <c r="H53" s="95">
        <v>0.1411</v>
      </c>
      <c r="I53" s="94">
        <v>172.75030000000001</v>
      </c>
      <c r="J53" s="95">
        <v>0.27200000000000002</v>
      </c>
      <c r="K53" s="94">
        <v>37.469499999999996</v>
      </c>
      <c r="L53" s="95">
        <v>5.8999999999999997E-2</v>
      </c>
      <c r="M53" s="94">
        <v>3.6665999999999999</v>
      </c>
      <c r="N53" s="95">
        <v>5.7999999999999996E-3</v>
      </c>
      <c r="O53" s="94">
        <v>3.3982999999999999</v>
      </c>
      <c r="P53" s="95">
        <v>5.4000000000000003E-3</v>
      </c>
      <c r="Q53" s="94">
        <v>18.0166</v>
      </c>
      <c r="R53" s="95">
        <v>2.8400000000000002E-2</v>
      </c>
      <c r="S53" s="94">
        <v>11.7479</v>
      </c>
      <c r="T53" s="95">
        <v>1.8499999999999999E-2</v>
      </c>
      <c r="U53" s="94">
        <v>43.9634</v>
      </c>
      <c r="V53" s="95">
        <v>6.9199999999999998E-2</v>
      </c>
      <c r="W53" s="94">
        <v>15.439299999999999</v>
      </c>
      <c r="X53" s="95">
        <v>2.4299999999999999E-2</v>
      </c>
      <c r="Y53" s="94">
        <v>10.9771</v>
      </c>
      <c r="Z53" s="95">
        <v>1.7299999999999999E-2</v>
      </c>
      <c r="AA53" s="96">
        <f t="shared" si="6"/>
        <v>635.16329999999994</v>
      </c>
      <c r="AB53" s="119">
        <v>1</v>
      </c>
      <c r="AC53" s="97">
        <f t="shared" si="7"/>
        <v>578.98239999999998</v>
      </c>
      <c r="AD53" s="98">
        <f t="shared" si="8"/>
        <v>0.91154888829376646</v>
      </c>
      <c r="AE53" s="99">
        <f t="shared" si="9"/>
        <v>56.180900000000001</v>
      </c>
      <c r="AF53" s="100">
        <f t="shared" si="10"/>
        <v>8.8451111706233668E-2</v>
      </c>
      <c r="AG53" s="99">
        <f t="shared" si="11"/>
        <v>22.725000000000001</v>
      </c>
      <c r="AH53" s="101">
        <f t="shared" si="12"/>
        <v>3.5778200661152816E-2</v>
      </c>
      <c r="AI53" s="102">
        <v>2546</v>
      </c>
      <c r="AJ53" s="103">
        <v>341</v>
      </c>
      <c r="AK53" s="104">
        <v>1081835</v>
      </c>
      <c r="AL53" s="104">
        <v>60147.42</v>
      </c>
      <c r="AM53" s="105">
        <v>17.986390771208473</v>
      </c>
      <c r="AN53" s="6">
        <v>635.16323</v>
      </c>
      <c r="AO53" s="7">
        <v>97059.265599999999</v>
      </c>
      <c r="AP53" s="7">
        <v>9657.1672199999994</v>
      </c>
      <c r="AQ53" s="12">
        <f t="shared" si="13"/>
        <v>10.050490313452396</v>
      </c>
      <c r="AR53" s="57">
        <v>4341.0393599999998</v>
      </c>
      <c r="AS53" s="106">
        <f t="shared" si="14"/>
        <v>1.0000001102078908</v>
      </c>
      <c r="AT53" s="60">
        <v>1229.1769999999999</v>
      </c>
      <c r="AU53" s="107">
        <f t="shared" si="29"/>
        <v>1229177</v>
      </c>
      <c r="AV53" s="108">
        <f t="shared" si="15"/>
        <v>0.88012955009734151</v>
      </c>
      <c r="AW53" s="109">
        <f t="shared" si="16"/>
        <v>7.8962806495728441E-2</v>
      </c>
      <c r="AX53" s="109">
        <f t="shared" si="17"/>
        <v>4.0907643406930094E-2</v>
      </c>
      <c r="AY53" s="110">
        <f t="shared" si="18"/>
        <v>0.95909235659306991</v>
      </c>
      <c r="AZ53" s="111">
        <f t="shared" si="19"/>
        <v>1178894.2656</v>
      </c>
      <c r="BA53" s="112">
        <f t="shared" si="20"/>
        <v>0.91766923596782313</v>
      </c>
      <c r="BB53" s="113">
        <f t="shared" si="21"/>
        <v>8.2330764032176831E-2</v>
      </c>
      <c r="BC53" s="114">
        <v>110.4533</v>
      </c>
      <c r="BD53" s="115">
        <v>250.44319999999999</v>
      </c>
      <c r="BE53" s="116">
        <f t="shared" si="22"/>
        <v>360.8965</v>
      </c>
      <c r="BF53" s="115">
        <v>274.26670000000001</v>
      </c>
      <c r="BG53" s="121">
        <f t="shared" si="28"/>
        <v>635.16319999999996</v>
      </c>
      <c r="BH53" s="122">
        <f t="shared" si="23"/>
        <v>0.17389751169463219</v>
      </c>
      <c r="BI53" s="117">
        <f t="shared" si="24"/>
        <v>0.39429740262030294</v>
      </c>
      <c r="BJ53" s="117">
        <f t="shared" si="25"/>
        <v>0.56819491431493518</v>
      </c>
      <c r="BK53" s="117">
        <f t="shared" si="26"/>
        <v>0.43180508568506493</v>
      </c>
      <c r="BL53" s="118">
        <f t="shared" si="27"/>
        <v>1</v>
      </c>
    </row>
    <row r="54" spans="1:64" x14ac:dyDescent="0.2">
      <c r="A54" s="64"/>
      <c r="B54" s="199" t="s">
        <v>108</v>
      </c>
      <c r="C54" s="190">
        <v>0</v>
      </c>
      <c r="D54" s="95">
        <v>0</v>
      </c>
      <c r="E54" s="94">
        <v>0</v>
      </c>
      <c r="F54" s="95">
        <v>0</v>
      </c>
      <c r="G54" s="94">
        <v>29.035699999999999</v>
      </c>
      <c r="H54" s="95">
        <v>0.24010000000000001</v>
      </c>
      <c r="I54" s="94">
        <v>0</v>
      </c>
      <c r="J54" s="95">
        <v>0</v>
      </c>
      <c r="K54" s="94">
        <v>7.9078999999999997</v>
      </c>
      <c r="L54" s="95">
        <v>6.54E-2</v>
      </c>
      <c r="M54" s="94">
        <v>15.893700000000001</v>
      </c>
      <c r="N54" s="95">
        <v>0.13139999999999999</v>
      </c>
      <c r="O54" s="94">
        <v>2.7787999999999999</v>
      </c>
      <c r="P54" s="95">
        <v>2.3E-2</v>
      </c>
      <c r="Q54" s="94">
        <v>13.7468</v>
      </c>
      <c r="R54" s="95">
        <v>0.1137</v>
      </c>
      <c r="S54" s="94">
        <v>9.2462</v>
      </c>
      <c r="T54" s="95">
        <v>7.6399999999999996E-2</v>
      </c>
      <c r="U54" s="94">
        <v>28.025500000000001</v>
      </c>
      <c r="V54" s="95">
        <v>0.23169999999999999</v>
      </c>
      <c r="W54" s="94">
        <v>13.029299999999999</v>
      </c>
      <c r="X54" s="95">
        <v>0.1077</v>
      </c>
      <c r="Y54" s="94">
        <v>1.2857000000000001</v>
      </c>
      <c r="Z54" s="95">
        <v>1.06E-2</v>
      </c>
      <c r="AA54" s="96">
        <f t="shared" si="6"/>
        <v>120.94960000000002</v>
      </c>
      <c r="AB54" s="119">
        <v>1</v>
      </c>
      <c r="AC54" s="97">
        <f t="shared" si="7"/>
        <v>83.641599999999997</v>
      </c>
      <c r="AD54" s="98">
        <f t="shared" si="8"/>
        <v>0.69154093936647976</v>
      </c>
      <c r="AE54" s="99">
        <f t="shared" si="9"/>
        <v>37.308</v>
      </c>
      <c r="AF54" s="100">
        <f t="shared" si="10"/>
        <v>0.30845906063352002</v>
      </c>
      <c r="AG54" s="99">
        <f t="shared" si="11"/>
        <v>10.5319</v>
      </c>
      <c r="AH54" s="101">
        <f t="shared" si="12"/>
        <v>8.7076765859498487E-2</v>
      </c>
      <c r="AI54" s="120">
        <v>694</v>
      </c>
      <c r="AJ54" s="103">
        <v>60</v>
      </c>
      <c r="AK54" s="104">
        <v>252720</v>
      </c>
      <c r="AL54" s="104">
        <v>18723.579999999998</v>
      </c>
      <c r="AM54" s="105">
        <v>13.497418762864795</v>
      </c>
      <c r="AN54" s="6">
        <v>120.94971</v>
      </c>
      <c r="AO54" s="7">
        <v>11741.1564</v>
      </c>
      <c r="AP54" s="7">
        <v>1332.9617000000001</v>
      </c>
      <c r="AQ54" s="12">
        <f t="shared" si="13"/>
        <v>8.8083223996608453</v>
      </c>
      <c r="AR54" s="57">
        <v>663.11203</v>
      </c>
      <c r="AS54" s="106">
        <f t="shared" si="14"/>
        <v>0.99999909053109781</v>
      </c>
      <c r="AT54" s="60">
        <v>266.36200000000002</v>
      </c>
      <c r="AU54" s="107">
        <f t="shared" si="29"/>
        <v>266362</v>
      </c>
      <c r="AV54" s="108">
        <f t="shared" si="15"/>
        <v>0.9487839857036664</v>
      </c>
      <c r="AW54" s="109">
        <f t="shared" si="16"/>
        <v>4.4079697554455968E-2</v>
      </c>
      <c r="AX54" s="109">
        <f t="shared" si="17"/>
        <v>7.1363167418776463E-3</v>
      </c>
      <c r="AY54" s="110">
        <f t="shared" si="18"/>
        <v>0.99286368325812235</v>
      </c>
      <c r="AZ54" s="111">
        <f t="shared" si="19"/>
        <v>264461.15639999998</v>
      </c>
      <c r="BA54" s="112">
        <f t="shared" si="20"/>
        <v>0.95560347477933061</v>
      </c>
      <c r="BB54" s="113">
        <f t="shared" si="21"/>
        <v>4.4396525220669426E-2</v>
      </c>
      <c r="BC54" s="114">
        <v>26.8385</v>
      </c>
      <c r="BD54" s="115">
        <v>75.397300000000001</v>
      </c>
      <c r="BE54" s="116">
        <f t="shared" si="22"/>
        <v>102.2358</v>
      </c>
      <c r="BF54" s="115">
        <v>18.713899999999999</v>
      </c>
      <c r="BG54" s="121">
        <f t="shared" si="28"/>
        <v>120.94969999999999</v>
      </c>
      <c r="BH54" s="122">
        <f t="shared" si="23"/>
        <v>0.22189802868465155</v>
      </c>
      <c r="BI54" s="117">
        <f t="shared" si="24"/>
        <v>0.62337732131621659</v>
      </c>
      <c r="BJ54" s="117">
        <f t="shared" si="25"/>
        <v>0.84527535000086818</v>
      </c>
      <c r="BK54" s="117">
        <f t="shared" si="26"/>
        <v>0.15472464999913188</v>
      </c>
      <c r="BL54" s="118">
        <f t="shared" si="27"/>
        <v>1</v>
      </c>
    </row>
    <row r="55" spans="1:64" x14ac:dyDescent="0.2">
      <c r="A55" s="64"/>
      <c r="B55" s="199" t="s">
        <v>109</v>
      </c>
      <c r="C55" s="190">
        <v>117.8313</v>
      </c>
      <c r="D55" s="95">
        <v>0.13300000000000001</v>
      </c>
      <c r="E55" s="94">
        <v>17.446200000000001</v>
      </c>
      <c r="F55" s="95">
        <v>1.9699999999999999E-2</v>
      </c>
      <c r="G55" s="94">
        <v>114.16160000000001</v>
      </c>
      <c r="H55" s="95">
        <v>0.12889999999999999</v>
      </c>
      <c r="I55" s="94">
        <v>121.7666</v>
      </c>
      <c r="J55" s="95">
        <v>0.13750000000000001</v>
      </c>
      <c r="K55" s="94">
        <v>53.591500000000003</v>
      </c>
      <c r="L55" s="95">
        <v>6.0499999999999998E-2</v>
      </c>
      <c r="M55" s="94">
        <v>16.052299999999999</v>
      </c>
      <c r="N55" s="95">
        <v>1.8100000000000002E-2</v>
      </c>
      <c r="O55" s="94">
        <v>33.765999999999998</v>
      </c>
      <c r="P55" s="95">
        <v>3.8100000000000002E-2</v>
      </c>
      <c r="Q55" s="94">
        <v>104.18040000000001</v>
      </c>
      <c r="R55" s="95">
        <v>0.1176</v>
      </c>
      <c r="S55" s="94">
        <v>13.429500000000001</v>
      </c>
      <c r="T55" s="95">
        <v>1.52E-2</v>
      </c>
      <c r="U55" s="94">
        <v>99.783299999999997</v>
      </c>
      <c r="V55" s="95">
        <v>0.11269999999999999</v>
      </c>
      <c r="W55" s="94">
        <v>142.33070000000001</v>
      </c>
      <c r="X55" s="95">
        <v>0.16070000000000001</v>
      </c>
      <c r="Y55" s="94">
        <v>51.285600000000002</v>
      </c>
      <c r="Z55" s="95">
        <v>5.79E-2</v>
      </c>
      <c r="AA55" s="96">
        <f t="shared" si="6"/>
        <v>885.62499999999989</v>
      </c>
      <c r="AB55" s="119">
        <v>1</v>
      </c>
      <c r="AC55" s="97">
        <f t="shared" si="7"/>
        <v>574.39879999999994</v>
      </c>
      <c r="AD55" s="98">
        <f t="shared" si="8"/>
        <v>0.6485801552575865</v>
      </c>
      <c r="AE55" s="99">
        <f t="shared" si="9"/>
        <v>311.22620000000001</v>
      </c>
      <c r="AF55" s="100">
        <f t="shared" si="10"/>
        <v>0.35141984474241361</v>
      </c>
      <c r="AG55" s="99">
        <f t="shared" si="11"/>
        <v>64.715100000000007</v>
      </c>
      <c r="AH55" s="101">
        <f t="shared" si="12"/>
        <v>7.3072801693719144E-2</v>
      </c>
      <c r="AI55" s="102">
        <v>2243</v>
      </c>
      <c r="AJ55" s="103">
        <v>469</v>
      </c>
      <c r="AK55" s="104">
        <v>829359</v>
      </c>
      <c r="AL55" s="104">
        <v>60337.39</v>
      </c>
      <c r="AM55" s="105">
        <v>13.745357563527358</v>
      </c>
      <c r="AN55" s="6">
        <v>885.62496999999996</v>
      </c>
      <c r="AO55" s="7">
        <v>134526.94200000001</v>
      </c>
      <c r="AP55" s="7">
        <v>11657.6777</v>
      </c>
      <c r="AQ55" s="12">
        <f t="shared" si="13"/>
        <v>11.539771939311722</v>
      </c>
      <c r="AR55" s="57">
        <v>5612.3178500000004</v>
      </c>
      <c r="AS55" s="106">
        <f t="shared" si="14"/>
        <v>1.0000000338743835</v>
      </c>
      <c r="AT55" s="60">
        <v>942.346</v>
      </c>
      <c r="AU55" s="107">
        <f t="shared" si="29"/>
        <v>942346</v>
      </c>
      <c r="AV55" s="108">
        <f t="shared" si="15"/>
        <v>0.88010030286115715</v>
      </c>
      <c r="AW55" s="109">
        <f t="shared" si="16"/>
        <v>0.14275748185910483</v>
      </c>
      <c r="AX55" s="109">
        <f t="shared" si="17"/>
        <v>-2.2857784720262009E-2</v>
      </c>
      <c r="AY55" s="110">
        <f t="shared" si="18"/>
        <v>1.022857784720262</v>
      </c>
      <c r="AZ55" s="111">
        <f t="shared" si="19"/>
        <v>963885.94200000004</v>
      </c>
      <c r="BA55" s="112">
        <f t="shared" si="20"/>
        <v>0.86043271704859037</v>
      </c>
      <c r="BB55" s="113">
        <f t="shared" si="21"/>
        <v>0.13956728295140963</v>
      </c>
      <c r="BC55" s="114">
        <v>287.10199999999998</v>
      </c>
      <c r="BD55" s="115">
        <v>513.25630000000001</v>
      </c>
      <c r="BE55" s="116">
        <f t="shared" si="22"/>
        <v>800.35829999999999</v>
      </c>
      <c r="BF55" s="115">
        <v>85.2667</v>
      </c>
      <c r="BG55" s="121">
        <f t="shared" si="28"/>
        <v>885.625</v>
      </c>
      <c r="BH55" s="122">
        <f t="shared" si="23"/>
        <v>0.32418009880028226</v>
      </c>
      <c r="BI55" s="117">
        <f t="shared" si="24"/>
        <v>0.57954134086097386</v>
      </c>
      <c r="BJ55" s="117">
        <f t="shared" si="25"/>
        <v>0.90372143966125618</v>
      </c>
      <c r="BK55" s="117">
        <f t="shared" si="26"/>
        <v>9.6278560338743824E-2</v>
      </c>
      <c r="BL55" s="118">
        <f t="shared" si="27"/>
        <v>1</v>
      </c>
    </row>
    <row r="56" spans="1:64" ht="17" thickBot="1" x14ac:dyDescent="0.25">
      <c r="A56" s="64"/>
      <c r="B56" s="200" t="s">
        <v>110</v>
      </c>
      <c r="C56" s="191">
        <v>0</v>
      </c>
      <c r="D56" s="125">
        <v>0</v>
      </c>
      <c r="E56" s="124">
        <v>0</v>
      </c>
      <c r="F56" s="125">
        <v>0</v>
      </c>
      <c r="G56" s="124">
        <v>11.7178</v>
      </c>
      <c r="H56" s="125">
        <v>0.36020000000000002</v>
      </c>
      <c r="I56" s="124">
        <v>0</v>
      </c>
      <c r="J56" s="125">
        <v>0</v>
      </c>
      <c r="K56" s="124">
        <v>0</v>
      </c>
      <c r="L56" s="125">
        <v>0</v>
      </c>
      <c r="M56" s="124">
        <v>0</v>
      </c>
      <c r="N56" s="125">
        <v>0</v>
      </c>
      <c r="O56" s="124">
        <v>0</v>
      </c>
      <c r="P56" s="125">
        <v>0</v>
      </c>
      <c r="Q56" s="124">
        <v>0</v>
      </c>
      <c r="R56" s="125">
        <v>0</v>
      </c>
      <c r="S56" s="124">
        <v>15.775</v>
      </c>
      <c r="T56" s="125">
        <v>0.48499999999999999</v>
      </c>
      <c r="U56" s="124">
        <v>3.9009999999999998</v>
      </c>
      <c r="V56" s="125">
        <v>0.11990000000000001</v>
      </c>
      <c r="W56" s="124">
        <v>1.1351</v>
      </c>
      <c r="X56" s="125">
        <v>3.49E-2</v>
      </c>
      <c r="Y56" s="124">
        <v>0</v>
      </c>
      <c r="Z56" s="125">
        <v>0</v>
      </c>
      <c r="AA56" s="126">
        <f t="shared" si="6"/>
        <v>32.5289</v>
      </c>
      <c r="AB56" s="127">
        <v>1</v>
      </c>
      <c r="AC56" s="128">
        <f t="shared" si="7"/>
        <v>15.6188</v>
      </c>
      <c r="AD56" s="129">
        <f t="shared" si="8"/>
        <v>0.48015149605427787</v>
      </c>
      <c r="AE56" s="130">
        <f t="shared" si="9"/>
        <v>16.9101</v>
      </c>
      <c r="AF56" s="131">
        <f t="shared" si="10"/>
        <v>0.51984850394572213</v>
      </c>
      <c r="AG56" s="130">
        <f t="shared" si="11"/>
        <v>15.775</v>
      </c>
      <c r="AH56" s="132">
        <f t="shared" si="12"/>
        <v>0.48495337991755028</v>
      </c>
      <c r="AI56" s="133">
        <v>359</v>
      </c>
      <c r="AJ56" s="134">
        <v>59</v>
      </c>
      <c r="AK56" s="135">
        <v>93093</v>
      </c>
      <c r="AL56" s="135">
        <v>7307.74</v>
      </c>
      <c r="AM56" s="136">
        <v>12.738958966794112</v>
      </c>
      <c r="AN56" s="88">
        <v>32.52901</v>
      </c>
      <c r="AO56" s="8">
        <v>1680.5195200000001</v>
      </c>
      <c r="AP56" s="55">
        <v>260.08028000000002</v>
      </c>
      <c r="AQ56" s="56">
        <f t="shared" si="13"/>
        <v>6.4615414901891057</v>
      </c>
      <c r="AR56" s="59" t="s">
        <v>60</v>
      </c>
      <c r="AS56" s="137">
        <f t="shared" si="14"/>
        <v>0.99999661840308085</v>
      </c>
      <c r="AT56" s="87">
        <v>99.364999999999995</v>
      </c>
      <c r="AU56" s="138">
        <f t="shared" si="29"/>
        <v>99365</v>
      </c>
      <c r="AV56" s="139">
        <f t="shared" si="15"/>
        <v>0.93687918281084892</v>
      </c>
      <c r="AW56" s="140">
        <f t="shared" si="16"/>
        <v>1.6912590147436221E-2</v>
      </c>
      <c r="AX56" s="140">
        <f t="shared" si="17"/>
        <v>4.62082270417149E-2</v>
      </c>
      <c r="AY56" s="141">
        <f t="shared" si="18"/>
        <v>0.9537917729582851</v>
      </c>
      <c r="AZ56" s="142">
        <f t="shared" si="19"/>
        <v>94773.519520000002</v>
      </c>
      <c r="BA56" s="143">
        <f t="shared" si="20"/>
        <v>0.98226804777841592</v>
      </c>
      <c r="BB56" s="144">
        <f t="shared" si="21"/>
        <v>1.7731952221584014E-2</v>
      </c>
      <c r="BC56" s="145">
        <v>5.6539000000000001</v>
      </c>
      <c r="BD56" s="146">
        <v>14.544700000000001</v>
      </c>
      <c r="BE56" s="147">
        <f t="shared" si="22"/>
        <v>20.198599999999999</v>
      </c>
      <c r="BF56" s="146">
        <v>12.330399999999999</v>
      </c>
      <c r="BG56" s="148">
        <f t="shared" si="28"/>
        <v>32.528999999999996</v>
      </c>
      <c r="BH56" s="149">
        <f t="shared" si="23"/>
        <v>0.17381106089950507</v>
      </c>
      <c r="BI56" s="150">
        <f t="shared" si="24"/>
        <v>0.44713025300501097</v>
      </c>
      <c r="BJ56" s="150">
        <f t="shared" si="25"/>
        <v>0.62094131390451601</v>
      </c>
      <c r="BK56" s="150">
        <f t="shared" si="26"/>
        <v>0.37905868609548404</v>
      </c>
      <c r="BL56" s="151">
        <f t="shared" si="27"/>
        <v>1</v>
      </c>
    </row>
    <row r="57" spans="1:64" ht="17" thickBot="1" x14ac:dyDescent="0.25">
      <c r="A57" s="64"/>
      <c r="B57" s="201" t="s">
        <v>34</v>
      </c>
      <c r="C57" s="192">
        <v>5288.9670999999998</v>
      </c>
      <c r="D57" s="153">
        <v>0.1779</v>
      </c>
      <c r="E57" s="152">
        <v>2302.9677999999999</v>
      </c>
      <c r="F57" s="153">
        <v>7.7499999999999999E-2</v>
      </c>
      <c r="G57" s="152">
        <v>2526.8321999999998</v>
      </c>
      <c r="H57" s="153">
        <v>8.5000000000000006E-2</v>
      </c>
      <c r="I57" s="152">
        <v>9881.1309000000001</v>
      </c>
      <c r="J57" s="153">
        <v>0.33239999999999997</v>
      </c>
      <c r="K57" s="152">
        <v>848.98289999999997</v>
      </c>
      <c r="L57" s="153">
        <v>2.86E-2</v>
      </c>
      <c r="M57" s="152">
        <v>528.54300000000001</v>
      </c>
      <c r="N57" s="153">
        <v>1.78E-2</v>
      </c>
      <c r="O57" s="152">
        <v>500.43810000000002</v>
      </c>
      <c r="P57" s="153">
        <v>1.6799999999999999E-2</v>
      </c>
      <c r="Q57" s="152">
        <v>1253.2127</v>
      </c>
      <c r="R57" s="153">
        <v>4.2200000000000001E-2</v>
      </c>
      <c r="S57" s="152">
        <v>836.38019999999995</v>
      </c>
      <c r="T57" s="153">
        <v>2.81E-2</v>
      </c>
      <c r="U57" s="152">
        <v>2903.8270000000002</v>
      </c>
      <c r="V57" s="153">
        <v>9.7699999999999995E-2</v>
      </c>
      <c r="W57" s="152">
        <v>2379.9690000000001</v>
      </c>
      <c r="X57" s="153">
        <v>8.0100000000000005E-2</v>
      </c>
      <c r="Y57" s="152">
        <v>475.76080000000002</v>
      </c>
      <c r="Z57" s="154">
        <v>1.6E-2</v>
      </c>
      <c r="AA57" s="73">
        <f t="shared" si="6"/>
        <v>29727.011700000003</v>
      </c>
      <c r="AB57" s="155">
        <v>1</v>
      </c>
      <c r="AC57" s="156">
        <f t="shared" si="7"/>
        <v>24781.689000000002</v>
      </c>
      <c r="AD57" s="157">
        <f t="shared" si="8"/>
        <v>0.8336421181547824</v>
      </c>
      <c r="AE57" s="158">
        <f t="shared" si="9"/>
        <v>4945.3227000000006</v>
      </c>
      <c r="AF57" s="159">
        <f t="shared" si="10"/>
        <v>0.16635788184521758</v>
      </c>
      <c r="AG57" s="160">
        <f t="shared" si="11"/>
        <v>1312.1410000000001</v>
      </c>
      <c r="AH57" s="161">
        <f t="shared" si="12"/>
        <v>4.4139687273039956E-2</v>
      </c>
      <c r="AI57" s="67">
        <f>SUM(AI6:AI56)</f>
        <v>99271</v>
      </c>
      <c r="AJ57" s="74">
        <f t="shared" ref="AJ57:AP57" si="30">SUM(AJ6:AJ56)</f>
        <v>19269</v>
      </c>
      <c r="AK57" s="74">
        <f t="shared" si="30"/>
        <v>49342118</v>
      </c>
      <c r="AL57" s="74">
        <f t="shared" si="30"/>
        <v>3186690.6699999995</v>
      </c>
      <c r="AM57" s="90" t="s">
        <v>111</v>
      </c>
      <c r="AN57" s="89">
        <f t="shared" si="30"/>
        <v>29727.011709999988</v>
      </c>
      <c r="AO57" s="77">
        <f t="shared" si="30"/>
        <v>4731303.281969998</v>
      </c>
      <c r="AP57" s="76">
        <f t="shared" si="30"/>
        <v>482570.7086000003</v>
      </c>
      <c r="AQ57" s="75">
        <f>SUM(AO57/AP57)</f>
        <v>9.8043731160063938</v>
      </c>
      <c r="AR57" s="78" t="s">
        <v>111</v>
      </c>
      <c r="AS57" s="91">
        <f t="shared" si="14"/>
        <v>0.99999999966360609</v>
      </c>
      <c r="AT57" s="162"/>
      <c r="AU57" s="79">
        <f>SUM(AU6:AU56)</f>
        <v>54135807</v>
      </c>
      <c r="AV57" s="68">
        <f t="shared" ref="AV57" si="31">SUM(AK57/AU57)</f>
        <v>0.91145067810663649</v>
      </c>
      <c r="AW57" s="80">
        <f t="shared" ref="AW57" si="32">SUM(AO57/AU57)</f>
        <v>8.7396929022781497E-2</v>
      </c>
      <c r="AX57" s="80">
        <f t="shared" si="17"/>
        <v>1.1523928705819975E-3</v>
      </c>
      <c r="AY57" s="80">
        <f t="shared" ref="AY57" si="33">SUM(AV57:AW57)</f>
        <v>0.998847607129418</v>
      </c>
      <c r="AZ57" s="92">
        <f t="shared" ref="AZ57" si="34">SUM(AO57+AK57)</f>
        <v>54073421.281969994</v>
      </c>
      <c r="BA57" s="86">
        <f t="shared" ref="BA57" si="35">SUM(AK57/AZ57)</f>
        <v>0.91250223918145934</v>
      </c>
      <c r="BB57" s="93">
        <f t="shared" ref="BB57" si="36">SUM(AO57/AZ57)</f>
        <v>8.7497760818540687E-2</v>
      </c>
      <c r="BC57" s="163">
        <v>6121.6139000000003</v>
      </c>
      <c r="BD57" s="164">
        <v>13506.790199999999</v>
      </c>
      <c r="BE57" s="81">
        <f>SUM(BE6:BE56)</f>
        <v>19628.403399999996</v>
      </c>
      <c r="BF57" s="164">
        <v>10098.607599999999</v>
      </c>
      <c r="BG57" s="165">
        <f t="shared" si="28"/>
        <v>29727.010999999995</v>
      </c>
      <c r="BH57" s="69">
        <f t="shared" si="23"/>
        <v>0.20592766289217579</v>
      </c>
      <c r="BI57" s="82">
        <f t="shared" si="24"/>
        <v>0.45436085720155323</v>
      </c>
      <c r="BJ57" s="83">
        <f t="shared" si="25"/>
        <v>0.66028849654612098</v>
      </c>
      <c r="BK57" s="84">
        <f t="shared" si="26"/>
        <v>0.33971150345387907</v>
      </c>
      <c r="BL57" s="85">
        <f t="shared" si="27"/>
        <v>1</v>
      </c>
    </row>
    <row r="58" spans="1:64" ht="17" thickTop="1" x14ac:dyDescent="0.2">
      <c r="BE58" s="10"/>
      <c r="BF58" s="10"/>
    </row>
    <row r="59" spans="1:64" ht="17" thickBot="1" x14ac:dyDescent="0.25"/>
    <row r="60" spans="1:64" ht="18" thickTop="1" thickBot="1" x14ac:dyDescent="0.25">
      <c r="B60" s="202" t="s">
        <v>128</v>
      </c>
      <c r="C60" s="209"/>
      <c r="D60" s="195"/>
      <c r="E60" s="194"/>
      <c r="F60" s="195"/>
      <c r="G60" s="194"/>
      <c r="H60" s="195"/>
      <c r="I60" s="194"/>
      <c r="J60" s="195"/>
      <c r="K60" s="194"/>
      <c r="L60" s="195"/>
      <c r="M60" s="194"/>
      <c r="N60" s="195"/>
      <c r="O60" s="194"/>
      <c r="P60" s="195"/>
      <c r="Q60" s="194"/>
      <c r="R60" s="195"/>
      <c r="S60" s="194"/>
      <c r="T60" s="195"/>
      <c r="U60" s="194"/>
      <c r="V60" s="195"/>
      <c r="W60" s="194"/>
      <c r="X60" s="195"/>
      <c r="Y60" s="194"/>
      <c r="Z60" s="195"/>
      <c r="AA60" s="194"/>
      <c r="AB60" s="196"/>
      <c r="AC60" s="196"/>
      <c r="AD60" s="196"/>
      <c r="AE60" s="197"/>
      <c r="AF60" s="197"/>
      <c r="AG60" s="197"/>
      <c r="AH60" s="198"/>
    </row>
    <row r="61" spans="1:64" x14ac:dyDescent="0.2">
      <c r="B61" s="203" t="s">
        <v>17</v>
      </c>
      <c r="C61" s="210" t="s">
        <v>130</v>
      </c>
      <c r="D61" s="170"/>
      <c r="E61" s="169"/>
      <c r="F61" s="168"/>
      <c r="G61" s="169"/>
      <c r="H61" s="168"/>
      <c r="I61" s="169"/>
      <c r="J61" s="168"/>
      <c r="AH61" s="64"/>
    </row>
    <row r="62" spans="1:64" x14ac:dyDescent="0.2">
      <c r="B62" s="203"/>
      <c r="C62" s="210" t="s">
        <v>112</v>
      </c>
      <c r="D62" s="170"/>
      <c r="E62" s="169"/>
      <c r="F62" s="168"/>
      <c r="G62" s="169"/>
      <c r="H62" s="168"/>
      <c r="I62" s="169"/>
      <c r="J62" s="168"/>
      <c r="AH62" s="64"/>
    </row>
    <row r="63" spans="1:64" x14ac:dyDescent="0.2">
      <c r="B63" s="203"/>
      <c r="C63" s="210" t="s">
        <v>113</v>
      </c>
      <c r="D63" s="170"/>
      <c r="E63" s="169"/>
      <c r="F63" s="168"/>
      <c r="G63" s="169"/>
      <c r="H63" s="168"/>
      <c r="I63" s="169"/>
      <c r="J63" s="168"/>
      <c r="AH63" s="64"/>
    </row>
    <row r="64" spans="1:64" x14ac:dyDescent="0.2">
      <c r="B64" s="203"/>
      <c r="C64" s="210" t="s">
        <v>114</v>
      </c>
      <c r="D64" s="170"/>
      <c r="E64" s="169"/>
      <c r="F64" s="168"/>
      <c r="G64" s="169"/>
      <c r="H64" s="168"/>
      <c r="I64" s="169"/>
      <c r="J64" s="168"/>
      <c r="AH64" s="64"/>
    </row>
    <row r="65" spans="2:34" x14ac:dyDescent="0.2">
      <c r="B65" s="204"/>
      <c r="C65" s="211"/>
      <c r="D65" s="176"/>
      <c r="E65" s="177"/>
      <c r="F65" s="178"/>
      <c r="G65" s="177"/>
      <c r="H65" s="178"/>
      <c r="I65" s="177"/>
      <c r="J65" s="178"/>
      <c r="K65" s="179"/>
      <c r="L65" s="4"/>
      <c r="M65" s="179"/>
      <c r="N65" s="4"/>
      <c r="O65" s="179"/>
      <c r="P65" s="4"/>
      <c r="Q65" s="179"/>
      <c r="R65" s="4"/>
      <c r="S65" s="179"/>
      <c r="T65" s="4"/>
      <c r="U65" s="179"/>
      <c r="V65" s="4"/>
      <c r="W65" s="179"/>
      <c r="X65" s="4"/>
      <c r="Y65" s="179"/>
      <c r="Z65" s="4"/>
      <c r="AA65" s="179"/>
      <c r="AB65" s="71"/>
      <c r="AC65" s="71"/>
      <c r="AD65" s="71"/>
      <c r="AE65" s="63"/>
      <c r="AF65" s="63"/>
      <c r="AG65" s="63"/>
      <c r="AH65" s="180"/>
    </row>
    <row r="66" spans="2:34" x14ac:dyDescent="0.2">
      <c r="B66" s="203" t="s">
        <v>18</v>
      </c>
      <c r="C66" s="212" t="s">
        <v>135</v>
      </c>
      <c r="D66" s="170"/>
      <c r="E66" s="169"/>
      <c r="F66" s="168"/>
      <c r="G66" s="169"/>
      <c r="H66" s="168"/>
      <c r="I66" s="169"/>
      <c r="J66" s="168"/>
      <c r="AH66" s="64"/>
    </row>
    <row r="67" spans="2:34" x14ac:dyDescent="0.2">
      <c r="B67" s="203"/>
      <c r="C67" s="213"/>
      <c r="D67" s="170"/>
      <c r="E67" s="169"/>
      <c r="F67" s="168"/>
      <c r="G67" s="169"/>
      <c r="H67" s="168"/>
      <c r="I67" s="169"/>
      <c r="J67" s="168"/>
      <c r="AH67" s="64"/>
    </row>
    <row r="68" spans="2:34" x14ac:dyDescent="0.2">
      <c r="B68" s="205" t="s">
        <v>19</v>
      </c>
      <c r="C68" s="214" t="s">
        <v>127</v>
      </c>
      <c r="D68" s="181"/>
      <c r="E68" s="182"/>
      <c r="F68" s="182"/>
      <c r="G68" s="182"/>
      <c r="H68" s="182"/>
      <c r="I68" s="182"/>
      <c r="J68" s="182"/>
      <c r="K68" s="183"/>
      <c r="L68" s="184"/>
      <c r="M68" s="183"/>
      <c r="N68" s="184"/>
      <c r="O68" s="183"/>
      <c r="P68" s="184"/>
      <c r="Q68" s="183"/>
      <c r="R68" s="184"/>
      <c r="S68" s="183"/>
      <c r="T68" s="184"/>
      <c r="U68" s="183"/>
      <c r="V68" s="184"/>
      <c r="W68" s="183"/>
      <c r="X68" s="184"/>
      <c r="Y68" s="183"/>
      <c r="Z68" s="184"/>
      <c r="AA68" s="183"/>
      <c r="AB68" s="70"/>
      <c r="AC68" s="70"/>
      <c r="AD68" s="70"/>
      <c r="AE68" s="185"/>
      <c r="AF68" s="185"/>
      <c r="AG68" s="185"/>
      <c r="AH68" s="186"/>
    </row>
    <row r="69" spans="2:34" x14ac:dyDescent="0.2">
      <c r="B69" s="203"/>
      <c r="C69" s="213"/>
      <c r="D69" s="170"/>
      <c r="E69" s="169"/>
      <c r="F69" s="168"/>
      <c r="G69" s="169"/>
      <c r="H69" s="168"/>
      <c r="I69" s="169"/>
      <c r="J69" s="168"/>
      <c r="AH69" s="64"/>
    </row>
    <row r="70" spans="2:34" x14ac:dyDescent="0.2">
      <c r="B70" s="205" t="s">
        <v>136</v>
      </c>
      <c r="C70" s="215" t="s">
        <v>115</v>
      </c>
      <c r="D70" s="187"/>
      <c r="E70" s="188"/>
      <c r="F70" s="189"/>
      <c r="G70" s="188"/>
      <c r="H70" s="189"/>
      <c r="I70" s="188"/>
      <c r="J70" s="189"/>
      <c r="K70" s="183"/>
      <c r="L70" s="184"/>
      <c r="M70" s="183"/>
      <c r="N70" s="184"/>
      <c r="O70" s="183"/>
      <c r="P70" s="184"/>
      <c r="Q70" s="183"/>
      <c r="R70" s="184"/>
      <c r="S70" s="183"/>
      <c r="T70" s="184"/>
      <c r="U70" s="183"/>
      <c r="V70" s="184"/>
      <c r="W70" s="183"/>
      <c r="X70" s="184"/>
      <c r="Y70" s="183"/>
      <c r="Z70" s="184"/>
      <c r="AA70" s="183"/>
      <c r="AB70" s="70"/>
      <c r="AC70" s="70"/>
      <c r="AD70" s="70"/>
      <c r="AE70" s="185"/>
      <c r="AF70" s="185"/>
      <c r="AG70" s="185"/>
      <c r="AH70" s="186"/>
    </row>
    <row r="71" spans="2:34" x14ac:dyDescent="0.2">
      <c r="B71" s="203"/>
      <c r="C71" s="213"/>
      <c r="D71" s="170"/>
      <c r="E71" s="169"/>
      <c r="F71" s="168"/>
      <c r="G71" s="169"/>
      <c r="H71" s="168"/>
      <c r="I71" s="169"/>
      <c r="J71" s="168"/>
      <c r="AH71" s="64"/>
    </row>
    <row r="72" spans="2:34" x14ac:dyDescent="0.2">
      <c r="B72" s="206" t="s">
        <v>116</v>
      </c>
      <c r="C72" s="216" t="s">
        <v>117</v>
      </c>
      <c r="D72" s="187"/>
      <c r="E72" s="188"/>
      <c r="F72" s="189"/>
      <c r="G72" s="188"/>
      <c r="H72" s="189"/>
      <c r="I72" s="188"/>
      <c r="J72" s="189"/>
      <c r="K72" s="183"/>
      <c r="L72" s="184"/>
      <c r="M72" s="183"/>
      <c r="N72" s="184"/>
      <c r="O72" s="183"/>
      <c r="P72" s="184"/>
      <c r="Q72" s="183"/>
      <c r="R72" s="184"/>
      <c r="S72" s="183"/>
      <c r="T72" s="184"/>
      <c r="U72" s="183"/>
      <c r="V72" s="184"/>
      <c r="W72" s="183"/>
      <c r="X72" s="184"/>
      <c r="Y72" s="183"/>
      <c r="Z72" s="184"/>
      <c r="AA72" s="183"/>
      <c r="AB72" s="70"/>
      <c r="AC72" s="70"/>
      <c r="AD72" s="70"/>
      <c r="AE72" s="185"/>
      <c r="AF72" s="185"/>
      <c r="AG72" s="185"/>
      <c r="AH72" s="186"/>
    </row>
    <row r="73" spans="2:34" x14ac:dyDescent="0.2">
      <c r="B73" s="207"/>
      <c r="C73" s="217"/>
      <c r="D73" s="170"/>
      <c r="E73" s="169"/>
      <c r="F73" s="168"/>
      <c r="G73" s="169"/>
      <c r="H73" s="168"/>
      <c r="I73" s="169"/>
      <c r="J73" s="168"/>
      <c r="AH73" s="64"/>
    </row>
    <row r="74" spans="2:34" x14ac:dyDescent="0.2">
      <c r="B74" s="206" t="s">
        <v>118</v>
      </c>
      <c r="C74" s="216" t="s">
        <v>119</v>
      </c>
      <c r="D74" s="187"/>
      <c r="E74" s="188"/>
      <c r="F74" s="189"/>
      <c r="G74" s="188"/>
      <c r="H74" s="189"/>
      <c r="I74" s="188"/>
      <c r="J74" s="189"/>
      <c r="K74" s="183"/>
      <c r="L74" s="184"/>
      <c r="M74" s="183"/>
      <c r="N74" s="184"/>
      <c r="O74" s="183"/>
      <c r="P74" s="184"/>
      <c r="Q74" s="183"/>
      <c r="R74" s="184"/>
      <c r="S74" s="183"/>
      <c r="T74" s="184"/>
      <c r="U74" s="183"/>
      <c r="V74" s="184"/>
      <c r="W74" s="183"/>
      <c r="X74" s="184"/>
      <c r="Y74" s="183"/>
      <c r="Z74" s="184"/>
      <c r="AA74" s="183"/>
      <c r="AB74" s="70"/>
      <c r="AC74" s="70"/>
      <c r="AD74" s="70"/>
      <c r="AE74" s="185"/>
      <c r="AF74" s="185"/>
      <c r="AG74" s="185"/>
      <c r="AH74" s="186"/>
    </row>
    <row r="75" spans="2:34" ht="17" thickBot="1" x14ac:dyDescent="0.25">
      <c r="B75" s="208"/>
      <c r="C75" s="218"/>
      <c r="D75" s="171"/>
      <c r="E75" s="172"/>
      <c r="F75" s="173"/>
      <c r="G75" s="172"/>
      <c r="H75" s="173"/>
      <c r="I75" s="172"/>
      <c r="J75" s="173"/>
      <c r="K75" s="174"/>
      <c r="L75" s="65"/>
      <c r="M75" s="174"/>
      <c r="N75" s="65"/>
      <c r="O75" s="174"/>
      <c r="P75" s="65"/>
      <c r="Q75" s="174"/>
      <c r="R75" s="65"/>
      <c r="S75" s="174"/>
      <c r="T75" s="65"/>
      <c r="U75" s="174"/>
      <c r="V75" s="65"/>
      <c r="W75" s="174"/>
      <c r="X75" s="65"/>
      <c r="Y75" s="174"/>
      <c r="Z75" s="65"/>
      <c r="AA75" s="174"/>
      <c r="AB75" s="72"/>
      <c r="AC75" s="72"/>
      <c r="AD75" s="72"/>
      <c r="AE75" s="62"/>
      <c r="AF75" s="62"/>
      <c r="AG75" s="62"/>
      <c r="AH75" s="175"/>
    </row>
    <row r="76" spans="2:34" ht="17" thickTop="1" x14ac:dyDescent="0.2">
      <c r="B76" s="166"/>
      <c r="D76" s="168"/>
      <c r="E76" s="169"/>
      <c r="F76" s="168"/>
      <c r="G76" s="169"/>
      <c r="H76" s="168"/>
      <c r="I76" s="169"/>
      <c r="J76" s="168"/>
    </row>
    <row r="77" spans="2:34" x14ac:dyDescent="0.2">
      <c r="D77" s="168"/>
      <c r="E77" s="169"/>
      <c r="F77" s="168"/>
      <c r="G77" s="169"/>
      <c r="H77" s="168"/>
      <c r="I77" s="169"/>
      <c r="J77" s="168"/>
    </row>
    <row r="78" spans="2:34" x14ac:dyDescent="0.2">
      <c r="D78" s="168"/>
      <c r="E78" s="169"/>
      <c r="F78" s="168"/>
      <c r="G78" s="169"/>
      <c r="H78" s="168"/>
      <c r="I78" s="169"/>
      <c r="J78" s="168"/>
    </row>
    <row r="79" spans="2:34" x14ac:dyDescent="0.2">
      <c r="D79" s="168"/>
      <c r="E79" s="169"/>
      <c r="F79" s="168"/>
      <c r="G79" s="169"/>
      <c r="H79" s="168"/>
      <c r="I79" s="169"/>
      <c r="J79" s="168"/>
    </row>
    <row r="80" spans="2:34" x14ac:dyDescent="0.2">
      <c r="D80" s="168"/>
      <c r="E80" s="169"/>
      <c r="F80" s="168"/>
      <c r="G80" s="169"/>
      <c r="H80" s="168"/>
      <c r="I80" s="169"/>
      <c r="J80" s="168"/>
    </row>
    <row r="81" spans="2:10" x14ac:dyDescent="0.2">
      <c r="D81" s="168"/>
      <c r="E81" s="169"/>
      <c r="F81" s="168"/>
      <c r="G81" s="169"/>
      <c r="H81" s="168"/>
      <c r="I81" s="169"/>
      <c r="J81" s="168"/>
    </row>
    <row r="82" spans="2:10" x14ac:dyDescent="0.2">
      <c r="B82" s="167"/>
    </row>
  </sheetData>
  <sheetProtection sheet="1" objects="1" scenarios="1"/>
  <mergeCells count="25">
    <mergeCell ref="Q4:R4"/>
    <mergeCell ref="S4:T4"/>
    <mergeCell ref="U4:V4"/>
    <mergeCell ref="AG4:AH4"/>
    <mergeCell ref="W4:X4"/>
    <mergeCell ref="Y4:Z4"/>
    <mergeCell ref="AA4:AB4"/>
    <mergeCell ref="AE4:AF4"/>
    <mergeCell ref="AC4:AD4"/>
    <mergeCell ref="AI3:AM3"/>
    <mergeCell ref="AN3:AR3"/>
    <mergeCell ref="C3:AH3"/>
    <mergeCell ref="BC3:BL3"/>
    <mergeCell ref="BC4:BG4"/>
    <mergeCell ref="BH4:BL4"/>
    <mergeCell ref="AT3:AY3"/>
    <mergeCell ref="AZ3:BB3"/>
    <mergeCell ref="AV4:AY4"/>
    <mergeCell ref="C4:D4"/>
    <mergeCell ref="E4:F4"/>
    <mergeCell ref="G4:H4"/>
    <mergeCell ref="I4:J4"/>
    <mergeCell ref="K4:L4"/>
    <mergeCell ref="M4:N4"/>
    <mergeCell ref="O4:P4"/>
  </mergeCells>
  <hyperlinks>
    <hyperlink ref="C72" r:id="rId1" xr:uid="{2EF291D3-1800-044F-98A4-E4584E0BEFA0}"/>
    <hyperlink ref="C74" r:id="rId2" xr:uid="{FB89E8E7-4389-6448-8D10-2ADC300015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Griffith</dc:creator>
  <cp:keywords/>
  <dc:description/>
  <cp:lastModifiedBy>Aaron Reeves</cp:lastModifiedBy>
  <cp:revision/>
  <dcterms:created xsi:type="dcterms:W3CDTF">2025-02-19T21:24:55Z</dcterms:created>
  <dcterms:modified xsi:type="dcterms:W3CDTF">2025-03-18T18:34:13Z</dcterms:modified>
  <cp:category/>
  <cp:contentStatus/>
</cp:coreProperties>
</file>